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rudyt\Desktop\"/>
    </mc:Choice>
  </mc:AlternateContent>
  <xr:revisionPtr revIDLastSave="0" documentId="13_ncr:1_{CF526946-0815-4BA4-8785-91DEDD40D1AC}" xr6:coauthVersionLast="45" xr6:coauthVersionMax="45" xr10:uidLastSave="{00000000-0000-0000-0000-000000000000}"/>
  <workbookProtection workbookAlgorithmName="SHA-512" workbookHashValue="GcdssoC/7LQk9VWuZ/w1sYsgjsJ+TXhQMnCEwYNApdEGD2V07vrQuTwzCDoHGAwao53SyFTNaTeE6fEbbKTfTw==" workbookSaltValue="ciNeXLj/PmfPAm2+0ZHSmA==" workbookSpinCount="100000" lockStructure="1"/>
  <bookViews>
    <workbookView xWindow="-120" yWindow="-120" windowWidth="20730" windowHeight="11160" xr2:uid="{00000000-000D-0000-FFFF-FFFF00000000}"/>
  </bookViews>
  <sheets>
    <sheet name="Form sheet" sheetId="9" r:id="rId1"/>
    <sheet name="sample" sheetId="15" r:id="rId2"/>
    <sheet name="KM only" sheetId="14" r:id="rId3"/>
  </sheets>
  <definedNames>
    <definedName name="_xlnm.Print_Area" localSheetId="0">'Form sheet'!$B$1:$AK$63</definedName>
    <definedName name="_xlnm.Print_Area" localSheetId="1">sample!$B$1:$AK$62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J4" i="9" l="1"/>
  <c r="BJ5" i="9"/>
  <c r="BJ3" i="9"/>
  <c r="BJ2" i="9"/>
  <c r="BA12" i="9"/>
  <c r="AY12" i="9" s="1"/>
  <c r="AW3" i="9"/>
  <c r="BA10" i="9"/>
  <c r="AY10" i="9" s="1"/>
  <c r="BA11" i="9"/>
  <c r="AY11" i="9" s="1"/>
  <c r="BA13" i="9"/>
  <c r="BA14" i="9"/>
  <c r="BA15" i="9"/>
  <c r="BA16" i="9"/>
  <c r="AR14" i="9"/>
  <c r="AR12" i="9"/>
  <c r="AR13" i="9"/>
  <c r="A2" i="14" l="1"/>
  <c r="B2" i="14"/>
  <c r="A4" i="14"/>
  <c r="B4" i="14"/>
  <c r="A6" i="14"/>
  <c r="B6" i="14"/>
  <c r="A8" i="14"/>
  <c r="B8" i="14"/>
  <c r="BC2" i="15"/>
  <c r="BD2" i="15"/>
  <c r="BE2" i="15"/>
  <c r="BF2" i="15"/>
  <c r="BG2" i="15"/>
  <c r="BH2" i="15"/>
  <c r="BA2" i="15" s="1"/>
  <c r="AY2" i="15" s="1"/>
  <c r="BI2" i="15"/>
  <c r="BJ2" i="15"/>
  <c r="BK2" i="15"/>
  <c r="AN3" i="15"/>
  <c r="AP7" i="15" s="1"/>
  <c r="AO10" i="15" s="1"/>
  <c r="AO3" i="15"/>
  <c r="AP3" i="15"/>
  <c r="AQ3" i="15"/>
  <c r="AR3" i="15"/>
  <c r="AW3" i="15"/>
  <c r="AX3" i="15"/>
  <c r="BC3" i="15"/>
  <c r="BD3" i="15"/>
  <c r="BE3" i="15"/>
  <c r="BF3" i="15"/>
  <c r="BG3" i="15"/>
  <c r="BH3" i="15"/>
  <c r="BA3" i="15" s="1"/>
  <c r="AY3" i="15" s="1"/>
  <c r="BI3" i="15"/>
  <c r="BJ3" i="15"/>
  <c r="BK3" i="15"/>
  <c r="AR4" i="15"/>
  <c r="BD4" i="15"/>
  <c r="BE4" i="15"/>
  <c r="BF4" i="15"/>
  <c r="BG4" i="15"/>
  <c r="BH4" i="15"/>
  <c r="BA4" i="15" s="1"/>
  <c r="AY4" i="15" s="1"/>
  <c r="BI4" i="15"/>
  <c r="BJ4" i="15"/>
  <c r="BK4" i="15"/>
  <c r="AR5" i="15"/>
  <c r="AW5" i="15"/>
  <c r="AX5" i="15"/>
  <c r="BE5" i="15"/>
  <c r="BF5" i="15"/>
  <c r="BH5" i="15"/>
  <c r="BA5" i="15" s="1"/>
  <c r="AY5" i="15" s="1"/>
  <c r="BJ5" i="15"/>
  <c r="BK5" i="15"/>
  <c r="AR6" i="15"/>
  <c r="BH6" i="15"/>
  <c r="BA6" i="15" s="1"/>
  <c r="AY6" i="15" s="1"/>
  <c r="BJ6" i="15"/>
  <c r="BK6" i="15"/>
  <c r="AR7" i="15"/>
  <c r="AX7" i="15"/>
  <c r="BH7" i="15"/>
  <c r="BA7" i="15" s="1"/>
  <c r="AY7" i="15" s="1"/>
  <c r="BJ7" i="15"/>
  <c r="BK7" i="15"/>
  <c r="AR8" i="15"/>
  <c r="AY8" i="15"/>
  <c r="BK8" i="15"/>
  <c r="AR9" i="15"/>
  <c r="AX9" i="15"/>
  <c r="AY9" i="15"/>
  <c r="BK9" i="15"/>
  <c r="AR10" i="15"/>
  <c r="AY10" i="15"/>
  <c r="BK10" i="15"/>
  <c r="AR11" i="15"/>
  <c r="AY11" i="15"/>
  <c r="BK11" i="15"/>
  <c r="AR12" i="15"/>
  <c r="AY12" i="15"/>
  <c r="BK12" i="15"/>
  <c r="AR13" i="15"/>
  <c r="AY13" i="15"/>
  <c r="BK13" i="15"/>
  <c r="AR14" i="15"/>
  <c r="AY14" i="15"/>
  <c r="BK14" i="15"/>
  <c r="AR15" i="15"/>
  <c r="AY15" i="15"/>
  <c r="BK15" i="15"/>
  <c r="AR16" i="15"/>
  <c r="AY16" i="15"/>
  <c r="BK16" i="15"/>
  <c r="AY17" i="15"/>
  <c r="BK17" i="15"/>
  <c r="AY18" i="15"/>
  <c r="BK18" i="15"/>
  <c r="AY19" i="15"/>
  <c r="BK19" i="15"/>
  <c r="AY20" i="15"/>
  <c r="BK20" i="15"/>
  <c r="G21" i="15"/>
  <c r="I21" i="15"/>
  <c r="K21" i="15"/>
  <c r="M21" i="15"/>
  <c r="O21" i="15"/>
  <c r="Q21" i="15"/>
  <c r="S21" i="15"/>
  <c r="U21" i="15"/>
  <c r="W21" i="15"/>
  <c r="Y21" i="15"/>
  <c r="AA21" i="15"/>
  <c r="AC21" i="15"/>
  <c r="AE21" i="15"/>
  <c r="AG21" i="15"/>
  <c r="AI21" i="15"/>
  <c r="AK21" i="15"/>
  <c r="AY21" i="15"/>
  <c r="BK21" i="15"/>
  <c r="G22" i="15"/>
  <c r="I22" i="15"/>
  <c r="K22" i="15"/>
  <c r="M22" i="15"/>
  <c r="O22" i="15"/>
  <c r="Q22" i="15"/>
  <c r="S22" i="15"/>
  <c r="U22" i="15"/>
  <c r="W22" i="15"/>
  <c r="Y22" i="15"/>
  <c r="AA22" i="15"/>
  <c r="AC22" i="15"/>
  <c r="AE22" i="15"/>
  <c r="AG22" i="15"/>
  <c r="AI22" i="15"/>
  <c r="AK22" i="15"/>
  <c r="AY22" i="15"/>
  <c r="BK22" i="15"/>
  <c r="G23" i="15"/>
  <c r="I23" i="15"/>
  <c r="K23" i="15"/>
  <c r="M23" i="15"/>
  <c r="O23" i="15"/>
  <c r="Q23" i="15"/>
  <c r="S23" i="15"/>
  <c r="U23" i="15"/>
  <c r="W23" i="15"/>
  <c r="Y23" i="15"/>
  <c r="AA23" i="15"/>
  <c r="AC23" i="15"/>
  <c r="AE23" i="15"/>
  <c r="AG23" i="15"/>
  <c r="AI23" i="15"/>
  <c r="AK23" i="15"/>
  <c r="AY23" i="15"/>
  <c r="BK23" i="15"/>
  <c r="G24" i="15"/>
  <c r="I24" i="15"/>
  <c r="K24" i="15"/>
  <c r="M24" i="15"/>
  <c r="AW7" i="15" s="1"/>
  <c r="O24" i="15"/>
  <c r="Q24" i="15"/>
  <c r="S24" i="15"/>
  <c r="U24" i="15"/>
  <c r="W24" i="15"/>
  <c r="Y24" i="15"/>
  <c r="AA24" i="15"/>
  <c r="AC24" i="15"/>
  <c r="AE24" i="15"/>
  <c r="AG24" i="15"/>
  <c r="AI24" i="15"/>
  <c r="AK24" i="15"/>
  <c r="AY24" i="15"/>
  <c r="BK24" i="15"/>
  <c r="G25" i="15"/>
  <c r="I25" i="15"/>
  <c r="K25" i="15"/>
  <c r="M25" i="15"/>
  <c r="O25" i="15"/>
  <c r="Q25" i="15"/>
  <c r="S25" i="15"/>
  <c r="U25" i="15"/>
  <c r="W25" i="15"/>
  <c r="Y25" i="15"/>
  <c r="AA25" i="15"/>
  <c r="AC25" i="15"/>
  <c r="AE25" i="15"/>
  <c r="AG25" i="15"/>
  <c r="AI25" i="15"/>
  <c r="AK25" i="15"/>
  <c r="AY25" i="15"/>
  <c r="BK25" i="15"/>
  <c r="G26" i="15"/>
  <c r="I26" i="15"/>
  <c r="K26" i="15"/>
  <c r="M26" i="15"/>
  <c r="AW9" i="15" s="1"/>
  <c r="O26" i="15"/>
  <c r="Q26" i="15"/>
  <c r="S26" i="15"/>
  <c r="U26" i="15"/>
  <c r="W26" i="15"/>
  <c r="Y26" i="15"/>
  <c r="AA26" i="15"/>
  <c r="AC26" i="15"/>
  <c r="AE26" i="15"/>
  <c r="AG26" i="15"/>
  <c r="AI26" i="15"/>
  <c r="AK26" i="15"/>
  <c r="BK26" i="15"/>
  <c r="BK27" i="15"/>
  <c r="BK28" i="15"/>
  <c r="G29" i="15"/>
  <c r="I29" i="15"/>
  <c r="K29" i="15"/>
  <c r="M29" i="15"/>
  <c r="O29" i="15"/>
  <c r="Q29" i="15"/>
  <c r="S29" i="15"/>
  <c r="U29" i="15"/>
  <c r="W29" i="15"/>
  <c r="Y29" i="15"/>
  <c r="AA29" i="15"/>
  <c r="AC29" i="15"/>
  <c r="AE29" i="15"/>
  <c r="AG29" i="15"/>
  <c r="AI29" i="15"/>
  <c r="AK29" i="15"/>
  <c r="BK29" i="15"/>
  <c r="G30" i="15"/>
  <c r="I30" i="15"/>
  <c r="K30" i="15"/>
  <c r="M30" i="15"/>
  <c r="O30" i="15"/>
  <c r="Q30" i="15"/>
  <c r="S30" i="15"/>
  <c r="U30" i="15"/>
  <c r="W30" i="15"/>
  <c r="Y30" i="15"/>
  <c r="AA30" i="15"/>
  <c r="AC30" i="15"/>
  <c r="AE30" i="15"/>
  <c r="AG30" i="15"/>
  <c r="AI30" i="15"/>
  <c r="AK30" i="15"/>
  <c r="BK30" i="15"/>
  <c r="G31" i="15"/>
  <c r="I31" i="15"/>
  <c r="K31" i="15"/>
  <c r="M31" i="15"/>
  <c r="O31" i="15"/>
  <c r="Q31" i="15"/>
  <c r="S31" i="15"/>
  <c r="U31" i="15"/>
  <c r="W31" i="15"/>
  <c r="Y31" i="15"/>
  <c r="AA31" i="15"/>
  <c r="AC31" i="15"/>
  <c r="AE31" i="15"/>
  <c r="AG31" i="15"/>
  <c r="AI31" i="15"/>
  <c r="AK31" i="15"/>
  <c r="BK31" i="15"/>
  <c r="G32" i="15"/>
  <c r="I32" i="15"/>
  <c r="K32" i="15"/>
  <c r="M32" i="15"/>
  <c r="O32" i="15"/>
  <c r="Q32" i="15"/>
  <c r="S32" i="15"/>
  <c r="U32" i="15"/>
  <c r="W32" i="15"/>
  <c r="Y32" i="15"/>
  <c r="AA32" i="15"/>
  <c r="AC32" i="15"/>
  <c r="AE32" i="15"/>
  <c r="AG32" i="15"/>
  <c r="AI32" i="15"/>
  <c r="AK32" i="15"/>
  <c r="BK32" i="15"/>
  <c r="G33" i="15"/>
  <c r="I33" i="15"/>
  <c r="K33" i="15"/>
  <c r="M33" i="15"/>
  <c r="O33" i="15"/>
  <c r="Q33" i="15"/>
  <c r="S33" i="15"/>
  <c r="U33" i="15"/>
  <c r="W33" i="15"/>
  <c r="Y33" i="15"/>
  <c r="AA33" i="15"/>
  <c r="AC33" i="15"/>
  <c r="AE33" i="15"/>
  <c r="AG33" i="15"/>
  <c r="AI33" i="15"/>
  <c r="AK33" i="15"/>
  <c r="BK33" i="15"/>
  <c r="G34" i="15"/>
  <c r="I34" i="15"/>
  <c r="K34" i="15"/>
  <c r="M34" i="15"/>
  <c r="O34" i="15"/>
  <c r="Q34" i="15"/>
  <c r="S34" i="15"/>
  <c r="U34" i="15"/>
  <c r="W34" i="15"/>
  <c r="Y34" i="15"/>
  <c r="AA34" i="15"/>
  <c r="AC34" i="15"/>
  <c r="AE34" i="15"/>
  <c r="AG34" i="15"/>
  <c r="AI34" i="15"/>
  <c r="AK34" i="15"/>
  <c r="BK34" i="15"/>
  <c r="BK35" i="15"/>
  <c r="BK36" i="15"/>
  <c r="G37" i="15"/>
  <c r="I37" i="15"/>
  <c r="K37" i="15"/>
  <c r="M37" i="15"/>
  <c r="O37" i="15"/>
  <c r="Q37" i="15"/>
  <c r="S37" i="15"/>
  <c r="U37" i="15"/>
  <c r="W37" i="15"/>
  <c r="Y37" i="15"/>
  <c r="AA37" i="15"/>
  <c r="AC37" i="15"/>
  <c r="AE37" i="15"/>
  <c r="AG37" i="15"/>
  <c r="AI37" i="15"/>
  <c r="AK37" i="15"/>
  <c r="BK37" i="15"/>
  <c r="G38" i="15"/>
  <c r="I38" i="15"/>
  <c r="K38" i="15"/>
  <c r="M38" i="15"/>
  <c r="O38" i="15"/>
  <c r="Q38" i="15"/>
  <c r="S38" i="15"/>
  <c r="U38" i="15"/>
  <c r="W38" i="15"/>
  <c r="Y38" i="15"/>
  <c r="AA38" i="15"/>
  <c r="AC38" i="15"/>
  <c r="AE38" i="15"/>
  <c r="AG38" i="15"/>
  <c r="AI38" i="15"/>
  <c r="AK38" i="15"/>
  <c r="BK38" i="15"/>
  <c r="G39" i="15"/>
  <c r="I39" i="15"/>
  <c r="K39" i="15"/>
  <c r="M39" i="15"/>
  <c r="O39" i="15"/>
  <c r="Q39" i="15"/>
  <c r="S39" i="15"/>
  <c r="U39" i="15"/>
  <c r="W39" i="15"/>
  <c r="Y39" i="15"/>
  <c r="AA39" i="15"/>
  <c r="AC39" i="15"/>
  <c r="AE39" i="15"/>
  <c r="AG39" i="15"/>
  <c r="AI39" i="15"/>
  <c r="AK39" i="15"/>
  <c r="BK39" i="15"/>
  <c r="G40" i="15"/>
  <c r="I40" i="15"/>
  <c r="K40" i="15"/>
  <c r="M40" i="15"/>
  <c r="O40" i="15"/>
  <c r="Q40" i="15"/>
  <c r="S40" i="15"/>
  <c r="U40" i="15"/>
  <c r="W40" i="15"/>
  <c r="Y40" i="15"/>
  <c r="AA40" i="15"/>
  <c r="AC40" i="15"/>
  <c r="AE40" i="15"/>
  <c r="AG40" i="15"/>
  <c r="AI40" i="15"/>
  <c r="AK40" i="15"/>
  <c r="BK40" i="15"/>
  <c r="G41" i="15"/>
  <c r="I41" i="15"/>
  <c r="K41" i="15"/>
  <c r="M41" i="15"/>
  <c r="O41" i="15"/>
  <c r="Q41" i="15"/>
  <c r="S41" i="15"/>
  <c r="U41" i="15"/>
  <c r="W41" i="15"/>
  <c r="Y41" i="15"/>
  <c r="AA41" i="15"/>
  <c r="AC41" i="15"/>
  <c r="AE41" i="15"/>
  <c r="AG41" i="15"/>
  <c r="AI41" i="15"/>
  <c r="AK41" i="15"/>
  <c r="BK41" i="15"/>
  <c r="G42" i="15"/>
  <c r="I42" i="15"/>
  <c r="K42" i="15"/>
  <c r="M42" i="15"/>
  <c r="O42" i="15"/>
  <c r="Q42" i="15"/>
  <c r="S42" i="15"/>
  <c r="U42" i="15"/>
  <c r="W42" i="15"/>
  <c r="Y42" i="15"/>
  <c r="AA42" i="15"/>
  <c r="AC42" i="15"/>
  <c r="AE42" i="15"/>
  <c r="AG42" i="15"/>
  <c r="AI42" i="15"/>
  <c r="AK42" i="15"/>
  <c r="BK42" i="15"/>
  <c r="G45" i="15"/>
  <c r="I45" i="15"/>
  <c r="K45" i="15"/>
  <c r="M45" i="15"/>
  <c r="O45" i="15"/>
  <c r="Q45" i="15"/>
  <c r="S45" i="15"/>
  <c r="U45" i="15"/>
  <c r="W45" i="15"/>
  <c r="Y45" i="15"/>
  <c r="AA45" i="15"/>
  <c r="AC45" i="15"/>
  <c r="AE45" i="15"/>
  <c r="AG45" i="15"/>
  <c r="AI45" i="15"/>
  <c r="AK45" i="15"/>
  <c r="G46" i="15"/>
  <c r="I46" i="15"/>
  <c r="K46" i="15"/>
  <c r="M46" i="15"/>
  <c r="O46" i="15"/>
  <c r="Q46" i="15"/>
  <c r="S46" i="15"/>
  <c r="U46" i="15"/>
  <c r="W46" i="15"/>
  <c r="Y46" i="15"/>
  <c r="AA46" i="15"/>
  <c r="AC46" i="15"/>
  <c r="AE46" i="15"/>
  <c r="AG46" i="15"/>
  <c r="AI46" i="15"/>
  <c r="AK46" i="15"/>
  <c r="G47" i="15"/>
  <c r="I47" i="15"/>
  <c r="K47" i="15"/>
  <c r="M47" i="15"/>
  <c r="O47" i="15"/>
  <c r="Q47" i="15"/>
  <c r="S47" i="15"/>
  <c r="U47" i="15"/>
  <c r="W47" i="15"/>
  <c r="Y47" i="15"/>
  <c r="AA47" i="15"/>
  <c r="AC47" i="15"/>
  <c r="AE47" i="15"/>
  <c r="AG47" i="15"/>
  <c r="AI47" i="15"/>
  <c r="AK47" i="15"/>
  <c r="G48" i="15"/>
  <c r="I48" i="15"/>
  <c r="K48" i="15"/>
  <c r="M48" i="15"/>
  <c r="O48" i="15"/>
  <c r="Q48" i="15"/>
  <c r="S48" i="15"/>
  <c r="U48" i="15"/>
  <c r="W48" i="15"/>
  <c r="Y48" i="15"/>
  <c r="AA48" i="15"/>
  <c r="AC48" i="15"/>
  <c r="AE48" i="15"/>
  <c r="AG48" i="15"/>
  <c r="AI48" i="15"/>
  <c r="AK48" i="15"/>
  <c r="G49" i="15"/>
  <c r="I49" i="15"/>
  <c r="K49" i="15"/>
  <c r="M49" i="15"/>
  <c r="O49" i="15"/>
  <c r="Q49" i="15"/>
  <c r="S49" i="15"/>
  <c r="U49" i="15"/>
  <c r="W49" i="15"/>
  <c r="Y49" i="15"/>
  <c r="AA49" i="15"/>
  <c r="AC49" i="15"/>
  <c r="AE49" i="15"/>
  <c r="AG49" i="15"/>
  <c r="AI49" i="15"/>
  <c r="AK49" i="15"/>
  <c r="G50" i="15"/>
  <c r="I50" i="15"/>
  <c r="K50" i="15"/>
  <c r="M50" i="15"/>
  <c r="O50" i="15"/>
  <c r="Q50" i="15"/>
  <c r="S50" i="15"/>
  <c r="U50" i="15"/>
  <c r="W50" i="15"/>
  <c r="Y50" i="15"/>
  <c r="AA50" i="15"/>
  <c r="AC50" i="15"/>
  <c r="AE50" i="15"/>
  <c r="AG50" i="15"/>
  <c r="AI50" i="15"/>
  <c r="AK50" i="15"/>
  <c r="DB1" i="9"/>
  <c r="K24" i="9" s="1"/>
  <c r="BC2" i="9"/>
  <c r="BA2" i="9"/>
  <c r="BQ2" i="9"/>
  <c r="AN3" i="9"/>
  <c r="AP7" i="9" s="1"/>
  <c r="AO3" i="9"/>
  <c r="AP3" i="9"/>
  <c r="AQ3" i="9"/>
  <c r="AR3" i="9"/>
  <c r="AX3" i="9"/>
  <c r="BC3" i="9"/>
  <c r="BA3" i="9"/>
  <c r="BQ3" i="9"/>
  <c r="BX3" i="9"/>
  <c r="BX4" i="9" s="1"/>
  <c r="BX5" i="9" s="1"/>
  <c r="BX6" i="9" s="1"/>
  <c r="BZ3" i="9"/>
  <c r="BZ4" i="9" s="1"/>
  <c r="BZ5" i="9" s="1"/>
  <c r="CB3" i="9"/>
  <c r="CB4" i="9" s="1"/>
  <c r="CD3" i="9"/>
  <c r="CD4" i="9" s="1"/>
  <c r="CD5" i="9" s="1"/>
  <c r="CD6" i="9" s="1"/>
  <c r="CF3" i="9"/>
  <c r="CF4" i="9" s="1"/>
  <c r="CF5" i="9"/>
  <c r="CF6" i="9" s="1"/>
  <c r="CF7" i="9" s="1"/>
  <c r="CH3" i="9"/>
  <c r="CH4" i="9" s="1"/>
  <c r="CJ3" i="9"/>
  <c r="CJ4" i="9" s="1"/>
  <c r="CJ5" i="9" s="1"/>
  <c r="CJ6" i="9" s="1"/>
  <c r="CL3" i="9"/>
  <c r="CN3" i="9"/>
  <c r="CN4" i="9" s="1"/>
  <c r="CN5" i="9" s="1"/>
  <c r="CN6" i="9" s="1"/>
  <c r="CN7" i="9" s="1"/>
  <c r="CP3" i="9"/>
  <c r="CP4" i="9" s="1"/>
  <c r="CP5" i="9" s="1"/>
  <c r="CP6" i="9" s="1"/>
  <c r="CR3" i="9"/>
  <c r="CR4" i="9" s="1"/>
  <c r="CR5" i="9" s="1"/>
  <c r="CR6" i="9" s="1"/>
  <c r="CR7" i="9" s="1"/>
  <c r="CT3" i="9"/>
  <c r="CT4" i="9" s="1"/>
  <c r="CT5" i="9" s="1"/>
  <c r="CV3" i="9"/>
  <c r="CV4" i="9" s="1"/>
  <c r="CV5" i="9" s="1"/>
  <c r="CV6" i="9" s="1"/>
  <c r="CX3" i="9"/>
  <c r="CX4" i="9" s="1"/>
  <c r="CX5" i="9" s="1"/>
  <c r="CX6" i="9" s="1"/>
  <c r="CZ3" i="9"/>
  <c r="DB3" i="9"/>
  <c r="DB4" i="9" s="1"/>
  <c r="AR4" i="9"/>
  <c r="BA4" i="9"/>
  <c r="BQ4" i="9"/>
  <c r="CZ4" i="9"/>
  <c r="CZ5" i="9" s="1"/>
  <c r="CZ6" i="9" s="1"/>
  <c r="CZ7" i="9" s="1"/>
  <c r="AR5" i="9"/>
  <c r="AW5" i="9"/>
  <c r="AX5" i="9"/>
  <c r="BA5" i="9"/>
  <c r="BQ5" i="9"/>
  <c r="AR6" i="9"/>
  <c r="BJ6" i="9"/>
  <c r="BA6" i="9" s="1"/>
  <c r="BQ6" i="9"/>
  <c r="AR7" i="9"/>
  <c r="AX7" i="9"/>
  <c r="BJ7" i="9"/>
  <c r="BA7" i="9" s="1"/>
  <c r="BQ7" i="9"/>
  <c r="AR8" i="9"/>
  <c r="BJ8" i="9"/>
  <c r="BA8" i="9" s="1"/>
  <c r="BQ8" i="9"/>
  <c r="AR9" i="9"/>
  <c r="AX9" i="9"/>
  <c r="BJ9" i="9"/>
  <c r="BA9" i="9" s="1"/>
  <c r="AY9" i="9" s="1"/>
  <c r="BQ9" i="9"/>
  <c r="DB9" i="9"/>
  <c r="K32" i="9" s="1"/>
  <c r="AR10" i="9"/>
  <c r="BQ10" i="9"/>
  <c r="AR11" i="9"/>
  <c r="BQ11" i="9"/>
  <c r="BX11" i="9"/>
  <c r="BX12" i="9" s="1"/>
  <c r="BZ11" i="9"/>
  <c r="CB11" i="9"/>
  <c r="CB12" i="9" s="1"/>
  <c r="CD11" i="9"/>
  <c r="CD12" i="9" s="1"/>
  <c r="CF11" i="9"/>
  <c r="CH11" i="9"/>
  <c r="CJ11" i="9"/>
  <c r="CL11" i="9"/>
  <c r="CL12" i="9" s="1"/>
  <c r="CL13" i="9" s="1"/>
  <c r="CN11" i="9"/>
  <c r="CP11" i="9"/>
  <c r="CP12" i="9" s="1"/>
  <c r="CR11" i="9"/>
  <c r="CR12" i="9"/>
  <c r="CR13" i="9" s="1"/>
  <c r="CR14" i="9" s="1"/>
  <c r="CT11" i="9"/>
  <c r="CV11" i="9"/>
  <c r="CX11" i="9"/>
  <c r="CX12" i="9"/>
  <c r="CX13" i="9" s="1"/>
  <c r="CZ11" i="9"/>
  <c r="CZ12" i="9" s="1"/>
  <c r="DB11" i="9"/>
  <c r="DB12" i="9" s="1"/>
  <c r="BQ12" i="9"/>
  <c r="AY13" i="9"/>
  <c r="BQ13" i="9"/>
  <c r="AY14" i="9"/>
  <c r="BQ14" i="9"/>
  <c r="AY15" i="9"/>
  <c r="BQ15" i="9"/>
  <c r="AY16" i="9"/>
  <c r="BQ16" i="9"/>
  <c r="AY17" i="9"/>
  <c r="BQ17" i="9"/>
  <c r="DB17" i="9"/>
  <c r="Q40" i="9" s="1"/>
  <c r="AY18" i="9"/>
  <c r="BQ18" i="9"/>
  <c r="AY19" i="9"/>
  <c r="BQ19" i="9"/>
  <c r="BX19" i="9"/>
  <c r="BX20" i="9"/>
  <c r="BX21" i="9" s="1"/>
  <c r="BZ19" i="9"/>
  <c r="CB19" i="9"/>
  <c r="CB20" i="9" s="1"/>
  <c r="CD19" i="9"/>
  <c r="CF19" i="9"/>
  <c r="CH19" i="9"/>
  <c r="CH20" i="9" s="1"/>
  <c r="CJ19" i="9"/>
  <c r="CJ20" i="9" s="1"/>
  <c r="CL19" i="9"/>
  <c r="CL20" i="9" s="1"/>
  <c r="CL21" i="9" s="1"/>
  <c r="CL22" i="9" s="1"/>
  <c r="CL23" i="9" s="1"/>
  <c r="CN19" i="9"/>
  <c r="CN20" i="9" s="1"/>
  <c r="CN21" i="9" s="1"/>
  <c r="CP19" i="9"/>
  <c r="CP20" i="9" s="1"/>
  <c r="CP21" i="9" s="1"/>
  <c r="CP22" i="9" s="1"/>
  <c r="CP23" i="9" s="1"/>
  <c r="CR19" i="9"/>
  <c r="CR20" i="9" s="1"/>
  <c r="CR21" i="9" s="1"/>
  <c r="CR22" i="9" s="1"/>
  <c r="CT19" i="9"/>
  <c r="CV19" i="9"/>
  <c r="CV20" i="9" s="1"/>
  <c r="CV21" i="9" s="1"/>
  <c r="CV22" i="9" s="1"/>
  <c r="CX19" i="9"/>
  <c r="CX20" i="9" s="1"/>
  <c r="CX21" i="9"/>
  <c r="CX22" i="9" s="1"/>
  <c r="CZ19" i="9"/>
  <c r="DB19" i="9"/>
  <c r="DB20" i="9" s="1"/>
  <c r="DB21" i="9" s="1"/>
  <c r="AY20" i="9"/>
  <c r="BQ20" i="9"/>
  <c r="AY21" i="9"/>
  <c r="BQ21" i="9"/>
  <c r="AY22" i="9"/>
  <c r="BQ22" i="9"/>
  <c r="AY23" i="9"/>
  <c r="BQ23" i="9"/>
  <c r="AY24" i="9"/>
  <c r="BQ24" i="9"/>
  <c r="AY25" i="9"/>
  <c r="BQ25" i="9"/>
  <c r="DB25" i="9"/>
  <c r="K48" i="9" s="1"/>
  <c r="BQ26" i="9"/>
  <c r="BQ27" i="9"/>
  <c r="BX27" i="9"/>
  <c r="BZ27" i="9"/>
  <c r="BZ28" i="9" s="1"/>
  <c r="BZ29" i="9" s="1"/>
  <c r="BZ30" i="9" s="1"/>
  <c r="CB27" i="9"/>
  <c r="CB28" i="9" s="1"/>
  <c r="CB29" i="9" s="1"/>
  <c r="CD27" i="9"/>
  <c r="CD28" i="9" s="1"/>
  <c r="CF27" i="9"/>
  <c r="CF28" i="9" s="1"/>
  <c r="CH27" i="9"/>
  <c r="CH28" i="9" s="1"/>
  <c r="CJ27" i="9"/>
  <c r="CL27" i="9"/>
  <c r="CN27" i="9"/>
  <c r="CN28" i="9" s="1"/>
  <c r="CN29" i="9" s="1"/>
  <c r="CN30" i="9" s="1"/>
  <c r="CN31" i="9" s="1"/>
  <c r="CP27" i="9"/>
  <c r="CP28" i="9" s="1"/>
  <c r="CR27" i="9"/>
  <c r="CR28" i="9" s="1"/>
  <c r="CR29" i="9" s="1"/>
  <c r="CR30" i="9" s="1"/>
  <c r="CT27" i="9"/>
  <c r="CT28" i="9" s="1"/>
  <c r="CT29" i="9" s="1"/>
  <c r="CT30" i="9" s="1"/>
  <c r="CV27" i="9"/>
  <c r="CV28" i="9" s="1"/>
  <c r="CX27" i="9"/>
  <c r="CX28" i="9" s="1"/>
  <c r="CZ27" i="9"/>
  <c r="CZ28" i="9" s="1"/>
  <c r="CZ29" i="9" s="1"/>
  <c r="CZ30" i="9" s="1"/>
  <c r="DB27" i="9"/>
  <c r="AY28" i="9"/>
  <c r="BQ28" i="9"/>
  <c r="BQ29" i="9"/>
  <c r="BQ30" i="9"/>
  <c r="BQ31" i="9"/>
  <c r="BQ32" i="9"/>
  <c r="BQ33" i="9"/>
  <c r="BQ34" i="9"/>
  <c r="BQ35" i="9"/>
  <c r="BQ36" i="9"/>
  <c r="BQ37" i="9"/>
  <c r="BQ38" i="9"/>
  <c r="BQ39" i="9"/>
  <c r="BQ40" i="9"/>
  <c r="BQ41" i="9"/>
  <c r="BQ42" i="9"/>
  <c r="CF12" i="9"/>
  <c r="CX23" i="9"/>
  <c r="CT6" i="9"/>
  <c r="CT7" i="9" s="1"/>
  <c r="W42" i="9" l="1"/>
  <c r="AA40" i="9"/>
  <c r="M40" i="9"/>
  <c r="S28" i="9"/>
  <c r="AY2" i="9"/>
  <c r="AY7" i="9"/>
  <c r="AY6" i="9"/>
  <c r="AY5" i="9"/>
  <c r="AY8" i="9"/>
  <c r="AY3" i="9"/>
  <c r="BC11" i="9"/>
  <c r="AY4" i="9"/>
  <c r="Q33" i="9"/>
  <c r="AK33" i="9"/>
  <c r="AA36" i="9"/>
  <c r="Y32" i="9"/>
  <c r="O32" i="9"/>
  <c r="U33" i="9"/>
  <c r="O33" i="9"/>
  <c r="O29" i="9"/>
  <c r="BX7" i="9"/>
  <c r="G29" i="9" s="1"/>
  <c r="G28" i="9"/>
  <c r="CH21" i="9"/>
  <c r="Q42" i="9"/>
  <c r="CB5" i="9"/>
  <c r="CB6" i="9" s="1"/>
  <c r="CB7" i="9" s="1"/>
  <c r="K26" i="9"/>
  <c r="W33" i="9"/>
  <c r="I27" i="9"/>
  <c r="AP9" i="9"/>
  <c r="AO10" i="9" s="1"/>
  <c r="AP8" i="9"/>
  <c r="AP29" i="15"/>
  <c r="AI52" i="9"/>
  <c r="AE41" i="9"/>
  <c r="AG48" i="9"/>
  <c r="AE48" i="9"/>
  <c r="I52" i="9"/>
  <c r="K34" i="9"/>
  <c r="AG49" i="9"/>
  <c r="W43" i="9"/>
  <c r="AC33" i="9"/>
  <c r="AC52" i="9"/>
  <c r="M34" i="9"/>
  <c r="CD13" i="9"/>
  <c r="M35" i="9" s="1"/>
  <c r="AO37" i="15"/>
  <c r="AU21" i="15"/>
  <c r="AS21" i="15"/>
  <c r="AG24" i="9"/>
  <c r="CT12" i="9"/>
  <c r="CT13" i="9" s="1"/>
  <c r="CT14" i="9" s="1"/>
  <c r="O34" i="9"/>
  <c r="O40" i="9"/>
  <c r="AK34" i="9"/>
  <c r="AE49" i="9"/>
  <c r="AC26" i="9"/>
  <c r="U32" i="9"/>
  <c r="AK48" i="9"/>
  <c r="AE32" i="9"/>
  <c r="M49" i="9"/>
  <c r="AG32" i="9"/>
  <c r="M50" i="9"/>
  <c r="G49" i="9"/>
  <c r="I41" i="9"/>
  <c r="AA35" i="9"/>
  <c r="U35" i="9"/>
  <c r="W29" i="9"/>
  <c r="BC11" i="15"/>
  <c r="BC10" i="15"/>
  <c r="O28" i="9"/>
  <c r="S26" i="9"/>
  <c r="AK24" i="9"/>
  <c r="AI33" i="9"/>
  <c r="M33" i="9"/>
  <c r="K33" i="9"/>
  <c r="W51" i="9"/>
  <c r="I50" i="9"/>
  <c r="AC32" i="9"/>
  <c r="G33" i="9"/>
  <c r="Y33" i="9"/>
  <c r="AI29" i="9"/>
  <c r="AI32" i="9"/>
  <c r="AC48" i="9"/>
  <c r="S49" i="9"/>
  <c r="Y24" i="9"/>
  <c r="AA29" i="9"/>
  <c r="AA34" i="9"/>
  <c r="AK41" i="9"/>
  <c r="AE43" i="9"/>
  <c r="U42" i="9"/>
  <c r="AG33" i="9"/>
  <c r="G32" i="9"/>
  <c r="AG34" i="9"/>
  <c r="I32" i="9"/>
  <c r="AC40" i="9"/>
  <c r="S25" i="9"/>
  <c r="Y45" i="9"/>
  <c r="M41" i="9"/>
  <c r="AG28" i="9"/>
  <c r="CX14" i="9"/>
  <c r="AG35" i="9"/>
  <c r="CR31" i="9"/>
  <c r="AA53" i="9" s="1"/>
  <c r="AA52" i="9"/>
  <c r="O50" i="9"/>
  <c r="CF29" i="9"/>
  <c r="O51" i="9" s="1"/>
  <c r="CH22" i="9"/>
  <c r="CH23" i="9" s="1"/>
  <c r="Q45" i="9" s="1"/>
  <c r="Q43" i="9"/>
  <c r="AI34" i="9"/>
  <c r="CZ13" i="9"/>
  <c r="CZ14" i="9" s="1"/>
  <c r="CV7" i="9"/>
  <c r="AE29" i="9" s="1"/>
  <c r="AE28" i="9"/>
  <c r="CP13" i="9"/>
  <c r="CP14" i="9" s="1"/>
  <c r="Y36" i="9" s="1"/>
  <c r="Y34" i="9"/>
  <c r="AQ45" i="15"/>
  <c r="AP9" i="15"/>
  <c r="AP8" i="15"/>
  <c r="CR15" i="9"/>
  <c r="AA37" i="9" s="1"/>
  <c r="W52" i="9"/>
  <c r="AC27" i="9"/>
  <c r="Q25" i="9"/>
  <c r="O25" i="9"/>
  <c r="AI26" i="9"/>
  <c r="K25" i="9"/>
  <c r="W41" i="9"/>
  <c r="S40" i="9"/>
  <c r="I40" i="9"/>
  <c r="I48" i="9"/>
  <c r="I49" i="9"/>
  <c r="AA50" i="9"/>
  <c r="AA43" i="9"/>
  <c r="AG43" i="9"/>
  <c r="U41" i="9"/>
  <c r="I51" i="9"/>
  <c r="K49" i="9"/>
  <c r="K50" i="9"/>
  <c r="M48" i="9"/>
  <c r="AA49" i="9"/>
  <c r="Q41" i="9"/>
  <c r="K28" i="9"/>
  <c r="S48" i="9"/>
  <c r="AK40" i="9"/>
  <c r="Y40" i="9"/>
  <c r="G40" i="9"/>
  <c r="M24" i="9"/>
  <c r="AI41" i="9"/>
  <c r="U45" i="9"/>
  <c r="AR45" i="15"/>
  <c r="AT37" i="15"/>
  <c r="AQ37" i="15"/>
  <c r="AU29" i="15"/>
  <c r="AR29" i="15"/>
  <c r="AQ21" i="15"/>
  <c r="AG44" i="9"/>
  <c r="G24" i="9"/>
  <c r="O26" i="9"/>
  <c r="Q48" i="9"/>
  <c r="AK42" i="9"/>
  <c r="AA51" i="9"/>
  <c r="AG41" i="9"/>
  <c r="AE42" i="9"/>
  <c r="AI49" i="9"/>
  <c r="W48" i="9"/>
  <c r="W27" i="9"/>
  <c r="AI27" i="9"/>
  <c r="G48" i="9"/>
  <c r="AA41" i="9"/>
  <c r="AG40" i="9"/>
  <c r="U40" i="9"/>
  <c r="AG50" i="9"/>
  <c r="U49" i="9"/>
  <c r="I24" i="9"/>
  <c r="Y41" i="9"/>
  <c r="G42" i="9"/>
  <c r="I25" i="9"/>
  <c r="AV45" i="15"/>
  <c r="AU45" i="15"/>
  <c r="AO29" i="15"/>
  <c r="Q44" i="9"/>
  <c r="AC28" i="9"/>
  <c r="W53" i="9"/>
  <c r="AA44" i="9"/>
  <c r="CZ31" i="9"/>
  <c r="AI53" i="9" s="1"/>
  <c r="AG26" i="9"/>
  <c r="W24" i="9"/>
  <c r="AA25" i="9"/>
  <c r="AG42" i="9"/>
  <c r="G41" i="9"/>
  <c r="K40" i="9"/>
  <c r="Y44" i="9"/>
  <c r="O49" i="9"/>
  <c r="CF13" i="9"/>
  <c r="CF14" i="9" s="1"/>
  <c r="O36" i="9" s="1"/>
  <c r="CL14" i="9"/>
  <c r="AG45" i="9"/>
  <c r="AA28" i="9"/>
  <c r="W26" i="9"/>
  <c r="O24" i="9"/>
  <c r="G26" i="9"/>
  <c r="Q24" i="9"/>
  <c r="AA26" i="9"/>
  <c r="U34" i="9"/>
  <c r="AI50" i="9"/>
  <c r="Y42" i="9"/>
  <c r="AI40" i="9"/>
  <c r="W40" i="9"/>
  <c r="Y48" i="9"/>
  <c r="W49" i="9"/>
  <c r="Y43" i="9"/>
  <c r="G27" i="9"/>
  <c r="O27" i="9"/>
  <c r="U48" i="9"/>
  <c r="O48" i="9"/>
  <c r="AI48" i="9"/>
  <c r="AA48" i="9"/>
  <c r="K29" i="9"/>
  <c r="K41" i="9"/>
  <c r="AE40" i="9"/>
  <c r="CL28" i="9"/>
  <c r="CL29" i="9" s="1"/>
  <c r="CL30" i="9" s="1"/>
  <c r="AI51" i="9"/>
  <c r="CJ28" i="9"/>
  <c r="CJ29" i="9" s="1"/>
  <c r="AI25" i="9"/>
  <c r="AI24" i="9"/>
  <c r="AA42" i="9"/>
  <c r="S41" i="9"/>
  <c r="CD20" i="9"/>
  <c r="CD21" i="9" s="1"/>
  <c r="BZ20" i="9"/>
  <c r="BZ21" i="9" s="1"/>
  <c r="CH12" i="9"/>
  <c r="CB13" i="9"/>
  <c r="AV37" i="15"/>
  <c r="AV29" i="15"/>
  <c r="AT21" i="15"/>
  <c r="AR21" i="15"/>
  <c r="CV23" i="9"/>
  <c r="AE45" i="9" s="1"/>
  <c r="AE44" i="9"/>
  <c r="DB5" i="9"/>
  <c r="DB6" i="9" s="1"/>
  <c r="DB7" i="9" s="1"/>
  <c r="AK29" i="9" s="1"/>
  <c r="AK26" i="9"/>
  <c r="CP7" i="9"/>
  <c r="Y29" i="9" s="1"/>
  <c r="Y28" i="9"/>
  <c r="CD7" i="9"/>
  <c r="M29" i="9" s="1"/>
  <c r="AW9" i="9" s="1"/>
  <c r="M28" i="9"/>
  <c r="CF15" i="9"/>
  <c r="O37" i="9" s="1"/>
  <c r="CP29" i="9"/>
  <c r="Y50" i="9"/>
  <c r="G34" i="9"/>
  <c r="BX13" i="9"/>
  <c r="CB30" i="9"/>
  <c r="K51" i="9"/>
  <c r="CT20" i="9"/>
  <c r="AC41" i="9"/>
  <c r="CL4" i="9"/>
  <c r="CL5" i="9" s="1"/>
  <c r="U25" i="9"/>
  <c r="CH5" i="9"/>
  <c r="CH6" i="9" s="1"/>
  <c r="CH7" i="9" s="1"/>
  <c r="Q29" i="9" s="1"/>
  <c r="Q26" i="9"/>
  <c r="AS45" i="15"/>
  <c r="AO45" i="15"/>
  <c r="AV21" i="15"/>
  <c r="CD14" i="9"/>
  <c r="DB13" i="9"/>
  <c r="Y25" i="9"/>
  <c r="CD29" i="9"/>
  <c r="BZ31" i="9"/>
  <c r="I53" i="9" s="1"/>
  <c r="AA27" i="9"/>
  <c r="Q49" i="9"/>
  <c r="DB28" i="9"/>
  <c r="AK49" i="9"/>
  <c r="CX29" i="9"/>
  <c r="BX28" i="9"/>
  <c r="I26" i="9"/>
  <c r="CZ20" i="9"/>
  <c r="CN22" i="9"/>
  <c r="CJ21" i="9"/>
  <c r="S42" i="9"/>
  <c r="CB21" i="9"/>
  <c r="K42" i="9"/>
  <c r="CV12" i="9"/>
  <c r="AE33" i="9"/>
  <c r="Y35" i="9"/>
  <c r="CN12" i="9"/>
  <c r="S33" i="9"/>
  <c r="CJ12" i="9"/>
  <c r="BZ12" i="9"/>
  <c r="I33" i="9"/>
  <c r="AP45" i="15"/>
  <c r="AS29" i="15"/>
  <c r="AW21" i="15"/>
  <c r="DB22" i="9"/>
  <c r="AK43" i="9"/>
  <c r="U43" i="9"/>
  <c r="U44" i="9"/>
  <c r="AC51" i="9"/>
  <c r="CX7" i="9"/>
  <c r="AG29" i="9" s="1"/>
  <c r="AC50" i="9"/>
  <c r="AC49" i="9"/>
  <c r="CH29" i="9"/>
  <c r="Q50" i="9"/>
  <c r="CF20" i="9"/>
  <c r="O41" i="9"/>
  <c r="BX22" i="9"/>
  <c r="G43" i="9"/>
  <c r="CP15" i="9"/>
  <c r="Y37" i="9" s="1"/>
  <c r="AT45" i="15"/>
  <c r="AT29" i="15"/>
  <c r="AP21" i="15"/>
  <c r="CR23" i="9"/>
  <c r="AA45" i="9" s="1"/>
  <c r="CJ7" i="9"/>
  <c r="S29" i="9" s="1"/>
  <c r="BZ6" i="9"/>
  <c r="BZ7" i="9" s="1"/>
  <c r="I29" i="9" s="1"/>
  <c r="CT31" i="9"/>
  <c r="AC53" i="9" s="1"/>
  <c r="Y49" i="9"/>
  <c r="AE50" i="9"/>
  <c r="CV29" i="9"/>
  <c r="AU37" i="15"/>
  <c r="AS37" i="15"/>
  <c r="AP37" i="15"/>
  <c r="AQ29" i="15"/>
  <c r="G25" i="9"/>
  <c r="S24" i="9"/>
  <c r="AC25" i="9"/>
  <c r="W28" i="9"/>
  <c r="S27" i="9"/>
  <c r="W25" i="9"/>
  <c r="AE26" i="9"/>
  <c r="AR37" i="15"/>
  <c r="Q28" i="9"/>
  <c r="AC29" i="9"/>
  <c r="Q27" i="9"/>
  <c r="M27" i="9"/>
  <c r="Y27" i="9"/>
  <c r="AE27" i="9"/>
  <c r="AG25" i="9"/>
  <c r="AE24" i="9"/>
  <c r="U24" i="9"/>
  <c r="AK25" i="9"/>
  <c r="AA24" i="9"/>
  <c r="AE25" i="9"/>
  <c r="Y26" i="9"/>
  <c r="M26" i="9"/>
  <c r="W50" i="9"/>
  <c r="AG27" i="9"/>
  <c r="AI28" i="9"/>
  <c r="M25" i="9"/>
  <c r="AC24" i="9"/>
  <c r="M32" i="9"/>
  <c r="S32" i="9"/>
  <c r="AA32" i="9"/>
  <c r="AA33" i="9"/>
  <c r="Q32" i="9"/>
  <c r="W32" i="9"/>
  <c r="AK32" i="9"/>
  <c r="S50" i="9" l="1"/>
  <c r="K27" i="9"/>
  <c r="AC35" i="9"/>
  <c r="M42" i="9"/>
  <c r="CF30" i="9"/>
  <c r="O52" i="9" s="1"/>
  <c r="AP45" i="9"/>
  <c r="AC34" i="9"/>
  <c r="AK28" i="9"/>
  <c r="AI35" i="9"/>
  <c r="AK27" i="9"/>
  <c r="AO37" i="9"/>
  <c r="CT15" i="9"/>
  <c r="AC37" i="9" s="1"/>
  <c r="AC36" i="9"/>
  <c r="O35" i="9"/>
  <c r="I42" i="9"/>
  <c r="I43" i="9"/>
  <c r="BZ22" i="9"/>
  <c r="AN29" i="15"/>
  <c r="AP37" i="9"/>
  <c r="U51" i="9"/>
  <c r="K35" i="9"/>
  <c r="CB14" i="9"/>
  <c r="S51" i="9"/>
  <c r="CJ30" i="9"/>
  <c r="AO45" i="9"/>
  <c r="AI36" i="9"/>
  <c r="CZ15" i="9"/>
  <c r="AI37" i="9" s="1"/>
  <c r="U52" i="9"/>
  <c r="CL31" i="9"/>
  <c r="U53" i="9" s="1"/>
  <c r="AW21" i="9"/>
  <c r="AN37" i="15"/>
  <c r="AO21" i="15"/>
  <c r="CH13" i="9"/>
  <c r="Q34" i="9"/>
  <c r="U50" i="9"/>
  <c r="CL15" i="9"/>
  <c r="U37" i="9" s="1"/>
  <c r="U36" i="9"/>
  <c r="AG36" i="9"/>
  <c r="CX15" i="9"/>
  <c r="AG37" i="9" s="1"/>
  <c r="G44" i="9"/>
  <c r="BX23" i="9"/>
  <c r="G45" i="9" s="1"/>
  <c r="W34" i="9"/>
  <c r="CN13" i="9"/>
  <c r="U27" i="9"/>
  <c r="CL6" i="9"/>
  <c r="K52" i="9"/>
  <c r="CB31" i="9"/>
  <c r="K53" i="9" s="1"/>
  <c r="AP29" i="9"/>
  <c r="AR21" i="9"/>
  <c r="M43" i="9"/>
  <c r="CD22" i="9"/>
  <c r="CH30" i="9"/>
  <c r="Q51" i="9"/>
  <c r="BZ13" i="9"/>
  <c r="I34" i="9"/>
  <c r="K43" i="9"/>
  <c r="CB22" i="9"/>
  <c r="CZ21" i="9"/>
  <c r="AI42" i="9"/>
  <c r="CD15" i="9"/>
  <c r="M37" i="9" s="1"/>
  <c r="M36" i="9"/>
  <c r="Y51" i="9"/>
  <c r="CP30" i="9"/>
  <c r="CV30" i="9"/>
  <c r="AE51" i="9"/>
  <c r="AW7" i="9"/>
  <c r="AP21" i="9"/>
  <c r="CF21" i="9"/>
  <c r="O42" i="9"/>
  <c r="CJ13" i="9"/>
  <c r="S34" i="9"/>
  <c r="DB29" i="9"/>
  <c r="AK50" i="9"/>
  <c r="CD30" i="9"/>
  <c r="M51" i="9"/>
  <c r="DB14" i="9"/>
  <c r="AK35" i="9"/>
  <c r="AC42" i="9"/>
  <c r="CT21" i="9"/>
  <c r="G35" i="9"/>
  <c r="BX14" i="9"/>
  <c r="DB23" i="9"/>
  <c r="AK45" i="9" s="1"/>
  <c r="AK44" i="9"/>
  <c r="CN23" i="9"/>
  <c r="W45" i="9" s="1"/>
  <c r="W44" i="9"/>
  <c r="CX30" i="9"/>
  <c r="AG51" i="9"/>
  <c r="AO29" i="9"/>
  <c r="I28" i="9"/>
  <c r="U26" i="9"/>
  <c r="AQ21" i="9"/>
  <c r="CV13" i="9"/>
  <c r="AE34" i="9"/>
  <c r="CJ22" i="9"/>
  <c r="S43" i="9"/>
  <c r="BX29" i="9"/>
  <c r="G50" i="9"/>
  <c r="AQ45" i="9" s="1"/>
  <c r="AN45" i="15"/>
  <c r="AS21" i="9" l="1"/>
  <c r="AQ37" i="9"/>
  <c r="CF31" i="9"/>
  <c r="O53" i="9" s="1"/>
  <c r="AT21" i="9"/>
  <c r="AQ29" i="9"/>
  <c r="CJ31" i="9"/>
  <c r="S53" i="9" s="1"/>
  <c r="S52" i="9"/>
  <c r="CH14" i="9"/>
  <c r="Q35" i="9"/>
  <c r="AR37" i="9"/>
  <c r="I44" i="9"/>
  <c r="BZ23" i="9"/>
  <c r="I45" i="9" s="1"/>
  <c r="CB15" i="9"/>
  <c r="K37" i="9" s="1"/>
  <c r="K36" i="9"/>
  <c r="DB15" i="9"/>
  <c r="AK37" i="9" s="1"/>
  <c r="AK36" i="9"/>
  <c r="AK51" i="9"/>
  <c r="AS45" i="9" s="1"/>
  <c r="DB30" i="9"/>
  <c r="S35" i="9"/>
  <c r="CJ14" i="9"/>
  <c r="CZ22" i="9"/>
  <c r="AI43" i="9"/>
  <c r="I35" i="9"/>
  <c r="AR29" i="9" s="1"/>
  <c r="BZ14" i="9"/>
  <c r="CD23" i="9"/>
  <c r="M45" i="9" s="1"/>
  <c r="M44" i="9"/>
  <c r="AG52" i="9"/>
  <c r="CX31" i="9"/>
  <c r="AG53" i="9" s="1"/>
  <c r="CT22" i="9"/>
  <c r="AC43" i="9"/>
  <c r="AE52" i="9"/>
  <c r="CV31" i="9"/>
  <c r="AE53" i="9" s="1"/>
  <c r="K44" i="9"/>
  <c r="CB23" i="9"/>
  <c r="K45" i="9" s="1"/>
  <c r="CN14" i="9"/>
  <c r="W35" i="9"/>
  <c r="BX30" i="9"/>
  <c r="G51" i="9"/>
  <c r="AR45" i="9" s="1"/>
  <c r="CV14" i="9"/>
  <c r="AE35" i="9"/>
  <c r="M52" i="9"/>
  <c r="CD31" i="9"/>
  <c r="M53" i="9" s="1"/>
  <c r="CF22" i="9"/>
  <c r="O43" i="9"/>
  <c r="AS37" i="9" s="1"/>
  <c r="Y52" i="9"/>
  <c r="CP31" i="9"/>
  <c r="Y53" i="9" s="1"/>
  <c r="Q52" i="9"/>
  <c r="CH31" i="9"/>
  <c r="Q53" i="9" s="1"/>
  <c r="CL7" i="9"/>
  <c r="U29" i="9" s="1"/>
  <c r="AV21" i="9" s="1"/>
  <c r="U28" i="9"/>
  <c r="AU21" i="9" s="1"/>
  <c r="CJ23" i="9"/>
  <c r="S45" i="9" s="1"/>
  <c r="S44" i="9"/>
  <c r="BX15" i="9"/>
  <c r="G37" i="9" s="1"/>
  <c r="G36" i="9"/>
  <c r="CH15" i="9" l="1"/>
  <c r="Q37" i="9" s="1"/>
  <c r="Q36" i="9"/>
  <c r="AO21" i="9"/>
  <c r="C2" i="14" s="1"/>
  <c r="AS29" i="9"/>
  <c r="CN15" i="9"/>
  <c r="W37" i="9" s="1"/>
  <c r="W36" i="9"/>
  <c r="AK52" i="9"/>
  <c r="AU45" i="9" s="1"/>
  <c r="DB31" i="9"/>
  <c r="AK53" i="9" s="1"/>
  <c r="AV45" i="9" s="1"/>
  <c r="O44" i="9"/>
  <c r="CF23" i="9"/>
  <c r="O45" i="9" s="1"/>
  <c r="I36" i="9"/>
  <c r="BZ15" i="9"/>
  <c r="I37" i="9" s="1"/>
  <c r="S36" i="9"/>
  <c r="CJ15" i="9"/>
  <c r="S37" i="9" s="1"/>
  <c r="CV15" i="9"/>
  <c r="AE37" i="9" s="1"/>
  <c r="AV29" i="9" s="1"/>
  <c r="AE36" i="9"/>
  <c r="BX31" i="9"/>
  <c r="G53" i="9" s="1"/>
  <c r="G52" i="9"/>
  <c r="AT45" i="9" s="1"/>
  <c r="AC44" i="9"/>
  <c r="CT23" i="9"/>
  <c r="AC45" i="9" s="1"/>
  <c r="CZ23" i="9"/>
  <c r="AI45" i="9" s="1"/>
  <c r="AI44" i="9"/>
  <c r="AU37" i="9" s="1"/>
  <c r="AU29" i="9" l="1"/>
  <c r="AT29" i="9"/>
  <c r="AN29" i="9" s="1"/>
  <c r="C4" i="14" s="1"/>
  <c r="AN45" i="9"/>
  <c r="C8" i="14" s="1"/>
  <c r="AT37" i="9"/>
  <c r="AV37" i="9"/>
  <c r="AN37" i="9" l="1"/>
  <c r="C6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Karl Mayer</author>
  </authors>
  <commentList>
    <comment ref="AT14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Karl Mayer:</t>
        </r>
        <r>
          <rPr>
            <sz val="8"/>
            <color indexed="81"/>
            <rFont val="Tahoma"/>
            <family val="2"/>
          </rPr>
          <t xml:space="preserve">
Present machine gauge = present number of needles per inch at the needle bar
E16    = Machine gauge E16 with 16 needles per inch
E16/2 = Machine gauge E16 with needling 1 in - 1 out
E16/3 = Machine gauge E16 with needling 1 in - 2 out
old style 32ER means E16</t>
        </r>
      </text>
    </comment>
    <comment ref="AU14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Karl Mayer:</t>
        </r>
        <r>
          <rPr>
            <sz val="8"/>
            <color indexed="81"/>
            <rFont val="Tahoma"/>
            <family val="2"/>
          </rPr>
          <t xml:space="preserve">
Present machine gauge = present number of needles per inch at the needle bar
E16    = Machine gauge E16 with 16 needles per inch
E16/2 = Machine gauge E16 with needling 1 in - 1 out
E16/3 = Machine gauge E16 with needling 1 in - 2 out
old style 32ER means E16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Karl Mayer</author>
  </authors>
  <commentList>
    <comment ref="AT14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Karl Mayer:</t>
        </r>
        <r>
          <rPr>
            <sz val="8"/>
            <color indexed="81"/>
            <rFont val="Tahoma"/>
            <family val="2"/>
          </rPr>
          <t xml:space="preserve">
Present machine gauge = present number of needles per inch at the needle bar
E16    = Machine gauge E16 with 16 needles per inch
E16/2 = Machine gauge E16 with needling 1 in - 1 out
E16/3 = Machine gauge E16 with needling 1 in - 2 out
old style 32ER means E16</t>
        </r>
      </text>
    </comment>
    <comment ref="AU14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Karl Mayer:</t>
        </r>
        <r>
          <rPr>
            <sz val="8"/>
            <color indexed="81"/>
            <rFont val="Tahoma"/>
            <family val="2"/>
          </rPr>
          <t xml:space="preserve">
Present machine gauge = present number of needles per inch at the needle bar
E16    = Machine gauge E16 with 16 needles per inch
E16/2 = Machine gauge E16 with needling 1 in - 1 out
E16/3 = Machine gauge E16 with needling 1 in - 2 out
old style 32ER means E16</t>
        </r>
      </text>
    </comment>
  </commentList>
</comments>
</file>

<file path=xl/sharedStrings.xml><?xml version="1.0" encoding="utf-8"?>
<sst xmlns="http://schemas.openxmlformats.org/spreadsheetml/2006/main" count="449" uniqueCount="153">
  <si>
    <r>
      <t>1</t>
    </r>
    <r>
      <rPr>
        <sz val="8"/>
        <rFont val="Arial"/>
        <family val="2"/>
      </rPr>
      <t xml:space="preserve"> Machine number acc. to type plate</t>
    </r>
  </si>
  <si>
    <r>
      <t>2</t>
    </r>
    <r>
      <rPr>
        <sz val="8"/>
        <rFont val="Arial"/>
        <family val="2"/>
      </rPr>
      <t xml:space="preserve"> Machine type acc. to type plate</t>
    </r>
  </si>
  <si>
    <t>Technical specification for pattern discs and pattern chains
Spezifikation für Musterscheiben und Musterketten</t>
  </si>
  <si>
    <r>
      <t>7</t>
    </r>
    <r>
      <rPr>
        <sz val="8"/>
        <rFont val="Arial"/>
        <family val="2"/>
      </rPr>
      <t xml:space="preserve"> Quantity to be ordered (for pattern discs mostly 1 pc.)
   For profile chains (PN and PE/PH), please write
   the pieces of chain links per track</t>
    </r>
  </si>
  <si>
    <r>
      <t xml:space="preserve">3 </t>
    </r>
    <r>
      <rPr>
        <sz val="8"/>
        <rFont val="Arial"/>
        <family val="2"/>
      </rPr>
      <t>Machine gauge = Needles on the needle bar per inch</t>
    </r>
  </si>
  <si>
    <t>must be filled in by customer</t>
  </si>
  <si>
    <t>filled in by Karl Mayer</t>
  </si>
  <si>
    <t>***</t>
  </si>
  <si>
    <r>
      <t>**</t>
    </r>
    <r>
      <rPr>
        <sz val="8"/>
        <rFont val="Arial"/>
        <family val="2"/>
      </rPr>
      <t xml:space="preserve"> If required</t>
    </r>
  </si>
  <si>
    <t>N</t>
  </si>
  <si>
    <t>E</t>
  </si>
  <si>
    <t>H</t>
  </si>
  <si>
    <r>
      <t xml:space="preserve"> Pattern disc/chain type </t>
    </r>
    <r>
      <rPr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 xml:space="preserve">Musterscheiben/kettentyp </t>
    </r>
  </si>
  <si>
    <r>
      <t xml:space="preserve">Pattern disc </t>
    </r>
    <r>
      <rPr>
        <vertAlign val="superscript"/>
        <sz val="10"/>
        <rFont val="Arial"/>
        <family val="2"/>
      </rPr>
      <t>4</t>
    </r>
    <r>
      <rPr>
        <sz val="8"/>
        <rFont val="Arial"/>
        <family val="2"/>
      </rPr>
      <t xml:space="preserve">
Musterscheibe</t>
    </r>
  </si>
  <si>
    <r>
      <t>Guide bar pos.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
 </t>
    </r>
    <r>
      <rPr>
        <sz val="8"/>
        <rFont val="Arial"/>
        <family val="2"/>
      </rPr>
      <t>Legebarrenpos</t>
    </r>
  </si>
  <si>
    <r>
      <t>4</t>
    </r>
    <r>
      <rPr>
        <sz val="8"/>
        <rFont val="Arial"/>
        <family val="2"/>
      </rPr>
      <t xml:space="preserve"> please choose one by marking with </t>
    </r>
    <r>
      <rPr>
        <b/>
        <sz val="8"/>
        <rFont val="Arial"/>
        <family val="2"/>
      </rPr>
      <t>X</t>
    </r>
    <r>
      <rPr>
        <sz val="8"/>
        <rFont val="Arial"/>
        <family val="2"/>
      </rPr>
      <t xml:space="preserve"> </t>
    </r>
  </si>
  <si>
    <r>
      <t xml:space="preserve">Pattern chain </t>
    </r>
    <r>
      <rPr>
        <vertAlign val="superscript"/>
        <sz val="10"/>
        <rFont val="Arial"/>
        <family val="2"/>
      </rPr>
      <t>4</t>
    </r>
    <r>
      <rPr>
        <sz val="8"/>
        <rFont val="Arial"/>
        <family val="2"/>
      </rPr>
      <t xml:space="preserve">
Musterkette</t>
    </r>
  </si>
  <si>
    <r>
      <t xml:space="preserve">5 </t>
    </r>
    <r>
      <rPr>
        <sz val="8"/>
        <rFont val="Arial"/>
        <family val="2"/>
      </rPr>
      <t>Transmission ratio between pattern drive and main shaft 
     (N pattern drive e.g. 16:1 or E/H pattern drive 8:1)</t>
    </r>
  </si>
  <si>
    <r>
      <t>Lapping</t>
    </r>
    <r>
      <rPr>
        <sz val="10"/>
        <rFont val="Arial"/>
      </rPr>
      <t xml:space="preserve"> *
</t>
    </r>
    <r>
      <rPr>
        <sz val="8"/>
        <rFont val="Arial"/>
        <family val="2"/>
      </rPr>
      <t>Legung
e.g.: 1,0/1,2//; if more than 48 stitches use next guide bar pos. by entering tbc</t>
    </r>
  </si>
  <si>
    <r>
      <t>6</t>
    </r>
    <r>
      <rPr>
        <sz val="8"/>
        <rFont val="Arial"/>
        <family val="2"/>
      </rPr>
      <t xml:space="preserve"> Guide bar designation (tbc=to be continued)</t>
    </r>
  </si>
  <si>
    <r>
      <t>If chain: Pin length in mm **</t>
    </r>
    <r>
      <rPr>
        <sz val="10"/>
        <rFont val="Arial"/>
        <family val="2"/>
      </rPr>
      <t xml:space="preserve">
 </t>
    </r>
    <r>
      <rPr>
        <sz val="8"/>
        <rFont val="Arial"/>
        <family val="2"/>
      </rPr>
      <t>bei Kette: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Stiftlänge in mm</t>
    </r>
  </si>
  <si>
    <t>: 1</t>
  </si>
  <si>
    <r>
      <t>Ratio Pattern drive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e.g. 16:1
Übersetzungsverhältnis Mustergetriebe z.B. 1:16</t>
    </r>
  </si>
  <si>
    <r>
      <t>Quantity</t>
    </r>
    <r>
      <rPr>
        <vertAlign val="superscript"/>
        <sz val="10"/>
        <rFont val="Arial"/>
        <family val="2"/>
      </rPr>
      <t xml:space="preserve"> 7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 xml:space="preserve"> Menge</t>
    </r>
  </si>
  <si>
    <r>
      <t xml:space="preserve">Repeat length </t>
    </r>
    <r>
      <rPr>
        <vertAlign val="superscript"/>
        <sz val="10"/>
        <rFont val="Arial"/>
        <family val="2"/>
      </rPr>
      <t>8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  </t>
    </r>
    <r>
      <rPr>
        <sz val="8"/>
        <rFont val="Arial"/>
        <family val="2"/>
      </rPr>
      <t xml:space="preserve">  Rapportlänge</t>
    </r>
  </si>
  <si>
    <r>
      <t xml:space="preserve">fitted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montiert</t>
    </r>
  </si>
  <si>
    <r>
      <t>8</t>
    </r>
    <r>
      <rPr>
        <sz val="8"/>
        <rFont val="Arial"/>
        <family val="2"/>
      </rPr>
      <t xml:space="preserve"> Repeat length of pattern; when double needle bar mc count the lappings for each needle bar even if there is no overlap</t>
    </r>
  </si>
  <si>
    <r>
      <t xml:space="preserve">New machine order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Neumaschinenbestellung</t>
    </r>
  </si>
  <si>
    <t>Ref. No customer</t>
  </si>
  <si>
    <r>
      <t xml:space="preserve">Spare parts order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Ersatzteilbestellung</t>
    </r>
  </si>
  <si>
    <r>
      <t>Machine Typ</t>
    </r>
    <r>
      <rPr>
        <sz val="10"/>
        <rFont val="Arial"/>
      </rPr>
      <t xml:space="preserve"> 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 xml:space="preserve">
</t>
    </r>
    <r>
      <rPr>
        <sz val="8"/>
        <rFont val="Arial"/>
        <family val="2"/>
      </rPr>
      <t>Maschinentyp</t>
    </r>
  </si>
  <si>
    <r>
      <t>Machine No</t>
    </r>
    <r>
      <rPr>
        <sz val="10"/>
        <rFont val="Arial"/>
      </rPr>
      <t xml:space="preserve"> 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 xml:space="preserve">
</t>
    </r>
    <r>
      <rPr>
        <sz val="8"/>
        <rFont val="Arial"/>
        <family val="2"/>
      </rPr>
      <t>Maschinen-Nr.</t>
    </r>
  </si>
  <si>
    <r>
      <t xml:space="preserve">Current gauge 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Aktuelle Feinheit</t>
    </r>
  </si>
  <si>
    <r>
      <t xml:space="preserve">SD-No. ***
</t>
    </r>
    <r>
      <rPr>
        <sz val="8"/>
        <rFont val="Arial"/>
        <family val="2"/>
      </rPr>
      <t>filled in by Karl Mayer</t>
    </r>
    <r>
      <rPr>
        <b/>
        <sz val="10"/>
        <rFont val="Arial"/>
        <family val="2"/>
      </rPr>
      <t xml:space="preserve"> </t>
    </r>
  </si>
  <si>
    <r>
      <t xml:space="preserve">not fitted </t>
    </r>
    <r>
      <rPr>
        <b/>
        <vertAlign val="superscript"/>
        <sz val="10"/>
        <rFont val="Arial"/>
        <family val="2"/>
      </rPr>
      <t xml:space="preserve">4
</t>
    </r>
    <r>
      <rPr>
        <sz val="8"/>
        <rFont val="Arial"/>
        <family val="2"/>
      </rPr>
      <t>nicht montiert</t>
    </r>
  </si>
  <si>
    <t>Karl Mayer order confirmation-No. Karl Mayer</t>
  </si>
  <si>
    <r>
      <t>Customer, Country</t>
    </r>
    <r>
      <rPr>
        <sz val="10"/>
        <rFont val="Arial"/>
      </rPr>
      <t xml:space="preserve">
</t>
    </r>
    <r>
      <rPr>
        <sz val="8"/>
        <rFont val="Arial"/>
        <family val="2"/>
      </rPr>
      <t>Kunde, Land</t>
    </r>
  </si>
  <si>
    <r>
      <t xml:space="preserve">Date
</t>
    </r>
    <r>
      <rPr>
        <sz val="8"/>
        <rFont val="Arial"/>
        <family val="2"/>
      </rPr>
      <t>Datum</t>
    </r>
  </si>
  <si>
    <t xml:space="preserve"> </t>
  </si>
  <si>
    <t>Feinheit</t>
  </si>
  <si>
    <t>Listen</t>
  </si>
  <si>
    <t>Order</t>
  </si>
  <si>
    <t>disc/chain</t>
  </si>
  <si>
    <t>Type</t>
  </si>
  <si>
    <t>Ratio</t>
  </si>
  <si>
    <t/>
  </si>
  <si>
    <t>Ratio N</t>
  </si>
  <si>
    <t>Ratio E</t>
  </si>
  <si>
    <t>Ratio H</t>
  </si>
  <si>
    <t>Fitted</t>
  </si>
  <si>
    <t>not fitted</t>
  </si>
  <si>
    <t xml:space="preserve">RL </t>
  </si>
  <si>
    <t>RL 8</t>
  </si>
  <si>
    <t>RL 12</t>
  </si>
  <si>
    <t>RL 16</t>
  </si>
  <si>
    <t>RL 20</t>
  </si>
  <si>
    <t>RL 24</t>
  </si>
  <si>
    <t>RL 32</t>
  </si>
  <si>
    <t>Repeat length chain</t>
  </si>
  <si>
    <t>Repeat length</t>
  </si>
  <si>
    <t>36</t>
  </si>
  <si>
    <t>6/6</t>
  </si>
  <si>
    <t>6/3</t>
  </si>
  <si>
    <t>6/2</t>
  </si>
  <si>
    <t>6</t>
  </si>
  <si>
    <t>9</t>
  </si>
  <si>
    <t>12</t>
  </si>
  <si>
    <t>14</t>
  </si>
  <si>
    <t>16</t>
  </si>
  <si>
    <t>18</t>
  </si>
  <si>
    <t>20</t>
  </si>
  <si>
    <t>21</t>
  </si>
  <si>
    <t>22</t>
  </si>
  <si>
    <t>24</t>
  </si>
  <si>
    <t>26</t>
  </si>
  <si>
    <t>28</t>
  </si>
  <si>
    <t>30</t>
  </si>
  <si>
    <t>32</t>
  </si>
  <si>
    <t>40</t>
  </si>
  <si>
    <t>44</t>
  </si>
  <si>
    <t>50</t>
  </si>
  <si>
    <t>Einheit Feinheit</t>
  </si>
  <si>
    <t>F</t>
  </si>
  <si>
    <t>Max. Versatz mm</t>
  </si>
  <si>
    <t>max. Versatz Nadeln</t>
  </si>
  <si>
    <t>7/2</t>
  </si>
  <si>
    <t>7</t>
  </si>
  <si>
    <t>8</t>
  </si>
  <si>
    <t>9/2</t>
  </si>
  <si>
    <t>10</t>
  </si>
  <si>
    <t>10/2</t>
  </si>
  <si>
    <t>Pin length</t>
  </si>
  <si>
    <t>Pinlength N</t>
  </si>
  <si>
    <t>Pin length E</t>
  </si>
  <si>
    <t>Pin length H</t>
  </si>
  <si>
    <t>LB-Type</t>
  </si>
  <si>
    <t>LB-Pos</t>
  </si>
  <si>
    <t>GB</t>
  </si>
  <si>
    <t>JB</t>
  </si>
  <si>
    <t>PB</t>
  </si>
  <si>
    <t xml:space="preserve">reperat length disc </t>
  </si>
  <si>
    <t>RL 28</t>
  </si>
  <si>
    <r>
      <t xml:space="preserve">double needle bar mc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Doppelfonturige Maschine</t>
    </r>
  </si>
  <si>
    <t>Charge-Nr.</t>
  </si>
  <si>
    <t>1</t>
  </si>
  <si>
    <t>2,5</t>
  </si>
  <si>
    <t>3</t>
  </si>
  <si>
    <t>4,5</t>
  </si>
  <si>
    <t>5</t>
  </si>
  <si>
    <t>FB(a)</t>
  </si>
  <si>
    <t>fields for the lapping, note one number per field</t>
  </si>
  <si>
    <t>x</t>
  </si>
  <si>
    <t>Mustermann</t>
  </si>
  <si>
    <t>HKS 3-M</t>
  </si>
  <si>
    <t>FB(b)</t>
  </si>
  <si>
    <t>Legung</t>
  </si>
  <si>
    <t>Leg.</t>
  </si>
  <si>
    <t>Pos</t>
  </si>
  <si>
    <r>
      <t>8</t>
    </r>
    <r>
      <rPr>
        <sz val="8"/>
        <rFont val="Arial"/>
        <family val="2"/>
      </rPr>
      <t xml:space="preserve"> Repeat length of the pattern</t>
    </r>
  </si>
  <si>
    <t xml:space="preserve">KARL MAYER order confirmation-No. </t>
  </si>
  <si>
    <t>filled in by KARL MAYER</t>
  </si>
  <si>
    <t>mm</t>
  </si>
  <si>
    <t>Pile</t>
  </si>
  <si>
    <t>X-Liste</t>
  </si>
  <si>
    <t>RL 48</t>
  </si>
  <si>
    <t>RL 10</t>
  </si>
  <si>
    <t>RL 14</t>
  </si>
  <si>
    <t>RL 18</t>
  </si>
  <si>
    <t>RL &gt; 18</t>
  </si>
  <si>
    <r>
      <t>Customer, Country</t>
    </r>
    <r>
      <rPr>
        <sz val="10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>Kunde, Land</t>
    </r>
  </si>
  <si>
    <r>
      <t xml:space="preserve">Date
</t>
    </r>
    <r>
      <rPr>
        <sz val="8"/>
        <color indexed="8"/>
        <rFont val="Arial"/>
        <family val="2"/>
      </rPr>
      <t>Datum</t>
    </r>
  </si>
  <si>
    <r>
      <t xml:space="preserve">New machine order </t>
    </r>
    <r>
      <rPr>
        <b/>
        <vertAlign val="superscript"/>
        <sz val="10"/>
        <color indexed="8"/>
        <rFont val="Arial"/>
        <family val="2"/>
      </rPr>
      <t>4</t>
    </r>
    <r>
      <rPr>
        <b/>
        <sz val="10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>Neumaschinenbestellung</t>
    </r>
  </si>
  <si>
    <r>
      <t>Machine Typ</t>
    </r>
    <r>
      <rPr>
        <sz val="10"/>
        <color indexed="8"/>
        <rFont val="Arial"/>
        <family val="2"/>
      </rPr>
      <t xml:space="preserve"> 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>Maschinentyp</t>
    </r>
  </si>
  <si>
    <r>
      <t xml:space="preserve">Spare parts order </t>
    </r>
    <r>
      <rPr>
        <b/>
        <vertAlign val="superscript"/>
        <sz val="10"/>
        <color indexed="8"/>
        <rFont val="Arial"/>
        <family val="2"/>
      </rPr>
      <t>4</t>
    </r>
    <r>
      <rPr>
        <b/>
        <sz val="10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>Ersatzteilbestellung</t>
    </r>
  </si>
  <si>
    <r>
      <t>Machine No</t>
    </r>
    <r>
      <rPr>
        <sz val="10"/>
        <color indexed="8"/>
        <rFont val="Arial"/>
        <family val="2"/>
      </rPr>
      <t xml:space="preserve"> 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>Maschinen-Nr.</t>
    </r>
  </si>
  <si>
    <r>
      <t xml:space="preserve">Current gauge 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>Aktuelle Feinheit</t>
    </r>
  </si>
  <si>
    <r>
      <rPr>
        <b/>
        <sz val="12"/>
        <color indexed="8"/>
        <rFont val="Arial"/>
        <family val="2"/>
      </rPr>
      <t>double needle bar mc only</t>
    </r>
    <r>
      <rPr>
        <vertAlign val="superscript"/>
        <sz val="10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 xml:space="preserve">nur bei </t>
    </r>
    <r>
      <rPr>
        <sz val="10"/>
        <color indexed="8"/>
        <rFont val="Arial"/>
        <family val="2"/>
      </rPr>
      <t>d</t>
    </r>
    <r>
      <rPr>
        <sz val="8"/>
        <color indexed="8"/>
        <rFont val="Arial"/>
        <family val="2"/>
      </rPr>
      <t>oppelfonturigen Maschinen</t>
    </r>
  </si>
  <si>
    <r>
      <rPr>
        <b/>
        <sz val="10"/>
        <color indexed="8"/>
        <rFont val="Arial"/>
        <family val="2"/>
      </rPr>
      <t>double needle bar mc</t>
    </r>
    <r>
      <rPr>
        <vertAlign val="superscript"/>
        <sz val="10"/>
        <color indexed="8"/>
        <rFont val="Arial"/>
        <family val="2"/>
      </rPr>
      <t xml:space="preserve"> 4</t>
    </r>
    <r>
      <rPr>
        <sz val="10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>Doppelfonturige Maschine</t>
    </r>
  </si>
  <si>
    <r>
      <t xml:space="preserve">wanted trick plate distance 
</t>
    </r>
    <r>
      <rPr>
        <sz val="8"/>
        <color indexed="8"/>
        <rFont val="Arial"/>
        <family val="2"/>
      </rPr>
      <t>gewünschter Fräsblechabstand</t>
    </r>
  </si>
  <si>
    <r>
      <t xml:space="preserve">Pattern disc </t>
    </r>
    <r>
      <rPr>
        <vertAlign val="superscript"/>
        <sz val="10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
Musterscheibe</t>
    </r>
  </si>
  <si>
    <r>
      <t xml:space="preserve">Pattern chain </t>
    </r>
    <r>
      <rPr>
        <vertAlign val="superscript"/>
        <sz val="10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
Musterkette</t>
    </r>
  </si>
  <si>
    <r>
      <t>If chain: Pin length in mm **</t>
    </r>
    <r>
      <rPr>
        <sz val="10"/>
        <color indexed="8"/>
        <rFont val="Arial"/>
        <family val="2"/>
      </rPr>
      <t xml:space="preserve">
 </t>
    </r>
    <r>
      <rPr>
        <sz val="8"/>
        <color indexed="8"/>
        <rFont val="Arial"/>
        <family val="2"/>
      </rPr>
      <t>bei Kette:</t>
    </r>
    <r>
      <rPr>
        <sz val="10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Stiftlänge in mm</t>
    </r>
  </si>
  <si>
    <r>
      <t xml:space="preserve"> Pattern disc/chain type </t>
    </r>
    <r>
      <rPr>
        <vertAlign val="superscript"/>
        <sz val="10"/>
        <color indexed="8"/>
        <rFont val="Arial"/>
        <family val="2"/>
      </rPr>
      <t>4</t>
    </r>
    <r>
      <rPr>
        <b/>
        <sz val="10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 xml:space="preserve">Musterscheiben/kettentyp </t>
    </r>
  </si>
  <si>
    <r>
      <t>Ratio Pattern drive</t>
    </r>
    <r>
      <rPr>
        <sz val="10"/>
        <color indexed="8"/>
        <rFont val="Arial"/>
        <family val="2"/>
      </rPr>
      <t xml:space="preserve"> </t>
    </r>
    <r>
      <rPr>
        <vertAlign val="superscript"/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e.g. 16:1
Übersetzungsverhältnis Mustergetriebe z.B. 1:16</t>
    </r>
  </si>
  <si>
    <r>
      <t>Guide bar pos.</t>
    </r>
    <r>
      <rPr>
        <sz val="10"/>
        <color indexed="8"/>
        <rFont val="Arial"/>
        <family val="2"/>
      </rPr>
      <t xml:space="preserve"> </t>
    </r>
    <r>
      <rPr>
        <vertAlign val="superscript"/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 xml:space="preserve">
 </t>
    </r>
    <r>
      <rPr>
        <sz val="8"/>
        <color indexed="8"/>
        <rFont val="Arial"/>
        <family val="2"/>
      </rPr>
      <t>Legebarrenpos</t>
    </r>
  </si>
  <si>
    <r>
      <t xml:space="preserve">fitted </t>
    </r>
    <r>
      <rPr>
        <b/>
        <vertAlign val="superscript"/>
        <sz val="10"/>
        <color indexed="8"/>
        <rFont val="Arial"/>
        <family val="2"/>
      </rPr>
      <t>4</t>
    </r>
    <r>
      <rPr>
        <b/>
        <sz val="10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>montiert</t>
    </r>
  </si>
  <si>
    <r>
      <t xml:space="preserve">not fitted </t>
    </r>
    <r>
      <rPr>
        <b/>
        <vertAlign val="superscript"/>
        <sz val="10"/>
        <color indexed="8"/>
        <rFont val="Arial"/>
        <family val="2"/>
      </rPr>
      <t xml:space="preserve">4
</t>
    </r>
    <r>
      <rPr>
        <sz val="8"/>
        <color indexed="8"/>
        <rFont val="Arial"/>
        <family val="2"/>
      </rPr>
      <t>nicht montiert</t>
    </r>
  </si>
  <si>
    <r>
      <t>Quantity</t>
    </r>
    <r>
      <rPr>
        <vertAlign val="superscript"/>
        <sz val="10"/>
        <color indexed="8"/>
        <rFont val="Arial"/>
        <family val="2"/>
      </rPr>
      <t xml:space="preserve"> 7</t>
    </r>
    <r>
      <rPr>
        <b/>
        <sz val="10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 xml:space="preserve"> Menge</t>
    </r>
  </si>
  <si>
    <r>
      <t xml:space="preserve">Repeat length </t>
    </r>
    <r>
      <rPr>
        <vertAlign val="superscript"/>
        <sz val="10"/>
        <color indexed="8"/>
        <rFont val="Arial"/>
        <family val="2"/>
      </rPr>
      <t>8</t>
    </r>
    <r>
      <rPr>
        <b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  </t>
    </r>
    <r>
      <rPr>
        <sz val="8"/>
        <color indexed="8"/>
        <rFont val="Arial"/>
        <family val="2"/>
      </rPr>
      <t xml:space="preserve">  Rapportlänge</t>
    </r>
  </si>
  <si>
    <r>
      <t>Lapping</t>
    </r>
    <r>
      <rPr>
        <sz val="10"/>
        <color indexed="8"/>
        <rFont val="Arial"/>
        <family val="2"/>
      </rPr>
      <t xml:space="preserve"> *
</t>
    </r>
    <r>
      <rPr>
        <sz val="8"/>
        <color indexed="8"/>
        <rFont val="Arial"/>
        <family val="2"/>
      </rPr>
      <t>Legung
e.g.: 1,0/1,2//; if more than 48 stitches use next guide bar pos. by entering tbc</t>
    </r>
  </si>
  <si>
    <t>6/7</t>
  </si>
  <si>
    <r>
      <t xml:space="preserve">SD- / Order-no.:
</t>
    </r>
    <r>
      <rPr>
        <sz val="8"/>
        <color indexed="8"/>
        <rFont val="Arial"/>
        <family val="2"/>
      </rPr>
      <t>filled in by KARL MAYER</t>
    </r>
    <r>
      <rPr>
        <b/>
        <sz val="10"/>
        <color indexed="8"/>
        <rFont val="Arial"/>
        <family val="2"/>
      </rPr>
      <t xml:space="preserve"> </t>
    </r>
  </si>
  <si>
    <t>RL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</si>
</sst>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9"/>
        <bgColor indexed="9"/>
      </patternFill>
    </fill>
    <fill>
      <patternFill patternType="solid">
        <fgColor rgb="FFFFE619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E619"/>
        <bgColor indexed="9"/>
      </patternFill>
    </fill>
    <fill>
      <patternFill patternType="solid">
        <fgColor rgb="FF8CBED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63">
    <xf numFmtId="0" fontId="0" fillId="0" borderId="0" xfId="0"/>
    <xf numFmtId="0" fontId="0" fillId="0" borderId="0" xfId="0" applyBorder="1"/>
    <xf numFmtId="0" fontId="0" fillId="0" borderId="0" xfId="0" applyProtection="1"/>
    <xf numFmtId="0" fontId="2" fillId="0" borderId="0" xfId="0" quotePrefix="1" applyFont="1" applyProtection="1"/>
    <xf numFmtId="0" fontId="2" fillId="2" borderId="0" xfId="0" applyFont="1" applyFill="1" applyBorder="1" applyProtection="1"/>
    <xf numFmtId="0" fontId="0" fillId="2" borderId="0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/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 vertical="center"/>
    </xf>
    <xf numFmtId="49" fontId="10" fillId="2" borderId="0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Protection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49" fontId="0" fillId="0" borderId="0" xfId="0" applyNumberFormat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1" fontId="13" fillId="2" borderId="1" xfId="0" applyNumberFormat="1" applyFont="1" applyFill="1" applyBorder="1" applyAlignment="1" applyProtection="1">
      <alignment vertical="center" wrapText="1"/>
    </xf>
    <xf numFmtId="0" fontId="0" fillId="0" borderId="0" xfId="0" applyBorder="1" applyProtection="1"/>
    <xf numFmtId="0" fontId="0" fillId="2" borderId="2" xfId="0" applyFill="1" applyBorder="1" applyAlignment="1" applyProtection="1">
      <alignment horizontal="center" vertical="center" wrapText="1"/>
    </xf>
    <xf numFmtId="1" fontId="13" fillId="2" borderId="3" xfId="0" applyNumberFormat="1" applyFont="1" applyFill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1" fontId="13" fillId="2" borderId="4" xfId="0" applyNumberFormat="1" applyFont="1" applyFill="1" applyBorder="1" applyAlignment="1" applyProtection="1">
      <alignment vertical="center" wrapText="1"/>
    </xf>
    <xf numFmtId="1" fontId="13" fillId="2" borderId="5" xfId="0" applyNumberFormat="1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left" vertical="center"/>
    </xf>
    <xf numFmtId="49" fontId="0" fillId="2" borderId="0" xfId="0" applyNumberFormat="1" applyFill="1" applyBorder="1" applyAlignment="1" applyProtection="1">
      <alignment horizontal="left" vertical="center"/>
    </xf>
    <xf numFmtId="1" fontId="13" fillId="2" borderId="0" xfId="0" applyNumberFormat="1" applyFont="1" applyFill="1" applyBorder="1" applyAlignment="1" applyProtection="1">
      <alignment vertical="center"/>
      <protection locked="0"/>
    </xf>
    <xf numFmtId="1" fontId="0" fillId="2" borderId="0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</xf>
    <xf numFmtId="1" fontId="13" fillId="3" borderId="1" xfId="0" applyNumberFormat="1" applyFont="1" applyFill="1" applyBorder="1" applyAlignment="1" applyProtection="1">
      <alignment vertical="center" wrapText="1"/>
    </xf>
    <xf numFmtId="11" fontId="13" fillId="2" borderId="0" xfId="0" applyNumberFormat="1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/>
    </xf>
    <xf numFmtId="14" fontId="13" fillId="2" borderId="0" xfId="0" applyNumberFormat="1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11" fontId="13" fillId="2" borderId="7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vertical="center" wrapText="1"/>
    </xf>
    <xf numFmtId="1" fontId="10" fillId="2" borderId="0" xfId="0" applyNumberFormat="1" applyFont="1" applyFill="1" applyBorder="1" applyAlignment="1" applyProtection="1">
      <alignment horizontal="center" vertical="center" wrapText="1"/>
    </xf>
    <xf numFmtId="1" fontId="10" fillId="2" borderId="0" xfId="0" applyNumberFormat="1" applyFont="1" applyFill="1" applyBorder="1" applyAlignment="1">
      <alignment horizontal="center" vertical="center"/>
    </xf>
    <xf numFmtId="1" fontId="10" fillId="2" borderId="0" xfId="0" applyNumberFormat="1" applyFont="1" applyFill="1" applyBorder="1" applyAlignment="1" applyProtection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3" fillId="2" borderId="0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vertical="center" wrapText="1"/>
    </xf>
    <xf numFmtId="49" fontId="13" fillId="2" borderId="0" xfId="0" applyNumberFormat="1" applyFont="1" applyFill="1" applyBorder="1" applyAlignment="1" applyProtection="1">
      <alignment horizontal="center" vertical="center" wrapText="1"/>
    </xf>
    <xf numFmtId="49" fontId="13" fillId="0" borderId="0" xfId="0" applyNumberFormat="1" applyFont="1" applyAlignment="1" applyProtection="1">
      <alignment horizontal="center" vertical="center"/>
    </xf>
    <xf numFmtId="49" fontId="13" fillId="0" borderId="0" xfId="0" applyNumberFormat="1" applyFont="1" applyAlignment="1" applyProtection="1">
      <alignment horizontal="center" vertical="center" wrapText="1"/>
    </xf>
    <xf numFmtId="49" fontId="13" fillId="2" borderId="0" xfId="0" applyNumberFormat="1" applyFont="1" applyFill="1" applyBorder="1" applyAlignment="1" applyProtection="1">
      <alignment horizontal="center" vertical="center"/>
    </xf>
    <xf numFmtId="49" fontId="15" fillId="0" borderId="0" xfId="0" applyNumberFormat="1" applyFont="1" applyBorder="1" applyAlignment="1" applyProtection="1">
      <alignment horizontal="center" vertical="center"/>
    </xf>
    <xf numFmtId="49" fontId="15" fillId="0" borderId="0" xfId="0" applyNumberFormat="1" applyFont="1" applyAlignment="1" applyProtection="1">
      <alignment horizontal="center" vertical="center" wrapText="1"/>
    </xf>
    <xf numFmtId="49" fontId="16" fillId="0" borderId="0" xfId="0" applyNumberFormat="1" applyFont="1" applyBorder="1" applyAlignment="1" applyProtection="1">
      <alignment horizontal="center" vertical="center"/>
    </xf>
    <xf numFmtId="49" fontId="15" fillId="0" borderId="0" xfId="0" applyNumberFormat="1" applyFont="1" applyAlignment="1" applyProtection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0" fillId="2" borderId="8" xfId="0" applyFont="1" applyFill="1" applyBorder="1" applyAlignment="1" applyProtection="1">
      <alignment vertical="center" wrapText="1"/>
    </xf>
    <xf numFmtId="49" fontId="0" fillId="0" borderId="0" xfId="0" applyNumberFormat="1" applyAlignment="1" applyProtection="1">
      <alignment horizontal="center" vertical="center"/>
    </xf>
    <xf numFmtId="1" fontId="13" fillId="2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Protection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wrapText="1"/>
    </xf>
    <xf numFmtId="14" fontId="13" fillId="0" borderId="0" xfId="0" applyNumberFormat="1" applyFont="1" applyFill="1" applyBorder="1" applyAlignment="1" applyProtection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center" vertical="center" wrapText="1"/>
    </xf>
    <xf numFmtId="1" fontId="1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Protection="1"/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left"/>
    </xf>
    <xf numFmtId="1" fontId="13" fillId="0" borderId="9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horizontal="left"/>
    </xf>
    <xf numFmtId="0" fontId="0" fillId="0" borderId="0" xfId="0" applyNumberFormat="1" applyProtection="1"/>
    <xf numFmtId="0" fontId="13" fillId="2" borderId="0" xfId="0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Alignment="1" applyProtection="1">
      <alignment horizontal="center"/>
    </xf>
    <xf numFmtId="1" fontId="13" fillId="2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center"/>
    </xf>
    <xf numFmtId="1" fontId="13" fillId="0" borderId="0" xfId="0" applyNumberFormat="1" applyFont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vertical="center"/>
    </xf>
    <xf numFmtId="1" fontId="13" fillId="2" borderId="0" xfId="0" applyNumberFormat="1" applyFont="1" applyFill="1" applyBorder="1" applyAlignment="1" applyProtection="1">
      <alignment vertical="center"/>
    </xf>
    <xf numFmtId="1" fontId="0" fillId="2" borderId="0" xfId="0" applyNumberForma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4" borderId="0" xfId="0" applyFill="1" applyProtection="1"/>
    <xf numFmtId="0" fontId="0" fillId="0" borderId="0" xfId="0" applyProtection="1">
      <protection locked="0"/>
    </xf>
    <xf numFmtId="0" fontId="1" fillId="0" borderId="0" xfId="1" applyAlignment="1" applyProtection="1"/>
    <xf numFmtId="1" fontId="13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0" fontId="10" fillId="0" borderId="0" xfId="0" applyFont="1"/>
    <xf numFmtId="0" fontId="4" fillId="0" borderId="0" xfId="0" applyFont="1"/>
    <xf numFmtId="49" fontId="13" fillId="6" borderId="10" xfId="0" applyNumberFormat="1" applyFont="1" applyFill="1" applyBorder="1" applyAlignment="1" applyProtection="1">
      <alignment horizontal="center" vertical="center"/>
    </xf>
    <xf numFmtId="49" fontId="13" fillId="6" borderId="11" xfId="0" applyNumberFormat="1" applyFont="1" applyFill="1" applyBorder="1" applyAlignment="1" applyProtection="1">
      <alignment vertical="center"/>
    </xf>
    <xf numFmtId="49" fontId="13" fillId="6" borderId="12" xfId="0" applyNumberFormat="1" applyFont="1" applyFill="1" applyBorder="1" applyAlignment="1" applyProtection="1">
      <alignment horizontal="right" vertical="center"/>
    </xf>
    <xf numFmtId="1" fontId="13" fillId="7" borderId="1" xfId="0" applyNumberFormat="1" applyFont="1" applyFill="1" applyBorder="1" applyAlignment="1" applyProtection="1">
      <alignment vertical="center" wrapText="1"/>
    </xf>
    <xf numFmtId="1" fontId="13" fillId="7" borderId="4" xfId="0" applyNumberFormat="1" applyFont="1" applyFill="1" applyBorder="1" applyAlignment="1" applyProtection="1">
      <alignment vertical="center" wrapText="1"/>
    </xf>
    <xf numFmtId="1" fontId="13" fillId="7" borderId="13" xfId="0" applyNumberFormat="1" applyFont="1" applyFill="1" applyBorder="1" applyAlignment="1" applyProtection="1">
      <alignment vertical="center" wrapText="1"/>
    </xf>
    <xf numFmtId="1" fontId="13" fillId="7" borderId="14" xfId="0" applyNumberFormat="1" applyFont="1" applyFill="1" applyBorder="1" applyAlignment="1" applyProtection="1">
      <alignment vertical="center" wrapText="1"/>
    </xf>
    <xf numFmtId="0" fontId="0" fillId="0" borderId="0" xfId="0" applyFill="1"/>
    <xf numFmtId="1" fontId="0" fillId="0" borderId="0" xfId="0" applyNumberFormat="1" applyFill="1" applyBorder="1" applyProtection="1"/>
    <xf numFmtId="1" fontId="0" fillId="0" borderId="0" xfId="0" applyNumberFormat="1" applyAlignment="1">
      <alignment horizontal="left" vertical="center" wrapText="1"/>
    </xf>
    <xf numFmtId="1" fontId="0" fillId="0" borderId="0" xfId="0" applyNumberFormat="1" applyAlignment="1">
      <alignment horizontal="left" vertical="center"/>
    </xf>
    <xf numFmtId="1" fontId="0" fillId="0" borderId="0" xfId="0" applyNumberFormat="1"/>
    <xf numFmtId="1" fontId="0" fillId="0" borderId="0" xfId="0" applyNumberFormat="1" applyAlignment="1">
      <alignment horizontal="center" vertical="center"/>
    </xf>
    <xf numFmtId="1" fontId="13" fillId="0" borderId="0" xfId="0" applyNumberFormat="1" applyFont="1" applyAlignment="1" applyProtection="1">
      <alignment horizontal="center" vertical="center" wrapText="1"/>
    </xf>
    <xf numFmtId="1" fontId="13" fillId="2" borderId="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0" xfId="0" applyNumberFormat="1" applyFont="1" applyFill="1" applyBorder="1" applyAlignment="1">
      <alignment horizontal="left" vertical="center" wrapText="1"/>
    </xf>
    <xf numFmtId="1" fontId="13" fillId="2" borderId="0" xfId="0" applyNumberFormat="1" applyFont="1" applyFill="1" applyBorder="1" applyAlignment="1">
      <alignment horizontal="left" vertical="center"/>
    </xf>
    <xf numFmtId="1" fontId="13" fillId="2" borderId="0" xfId="0" applyNumberFormat="1" applyFont="1" applyFill="1" applyBorder="1" applyAlignment="1" applyProtection="1">
      <alignment horizontal="left" vertical="center" wrapText="1"/>
    </xf>
    <xf numFmtId="1" fontId="13" fillId="2" borderId="0" xfId="0" applyNumberFormat="1" applyFont="1" applyFill="1" applyBorder="1" applyAlignment="1" applyProtection="1">
      <alignment horizontal="left" vertical="center"/>
    </xf>
    <xf numFmtId="1" fontId="13" fillId="2" borderId="0" xfId="0" applyNumberFormat="1" applyFont="1" applyFill="1" applyBorder="1" applyAlignment="1">
      <alignment horizontal="center" vertical="center"/>
    </xf>
    <xf numFmtId="1" fontId="13" fillId="2" borderId="0" xfId="0" applyNumberFormat="1" applyFont="1" applyFill="1" applyBorder="1" applyAlignment="1" applyProtection="1">
      <alignment vertical="center" wrapText="1"/>
    </xf>
    <xf numFmtId="1" fontId="13" fillId="2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ill="1" applyBorder="1" applyAlignment="1" applyProtection="1">
      <alignment wrapText="1"/>
    </xf>
    <xf numFmtId="1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0" fillId="2" borderId="0" xfId="0" applyNumberFormat="1" applyFill="1" applyBorder="1" applyAlignment="1">
      <alignment horizontal="left" vertical="center"/>
    </xf>
    <xf numFmtId="1" fontId="13" fillId="0" borderId="0" xfId="0" applyNumberFormat="1" applyFont="1" applyAlignment="1">
      <alignment horizontal="left" vertical="center" wrapText="1"/>
    </xf>
    <xf numFmtId="1" fontId="13" fillId="0" borderId="0" xfId="0" applyNumberFormat="1" applyFont="1" applyAlignment="1">
      <alignment horizontal="left" vertical="center"/>
    </xf>
    <xf numFmtId="1" fontId="0" fillId="2" borderId="0" xfId="0" applyNumberFormat="1" applyFill="1" applyBorder="1" applyAlignment="1" applyProtection="1">
      <alignment horizontal="left" vertical="center"/>
    </xf>
    <xf numFmtId="1" fontId="0" fillId="0" borderId="0" xfId="0" applyNumberFormat="1" applyAlignment="1" applyProtection="1">
      <alignment horizontal="left" vertical="center"/>
    </xf>
    <xf numFmtId="1" fontId="0" fillId="0" borderId="0" xfId="0" applyNumberFormat="1" applyAlignment="1" applyProtection="1">
      <alignment horizontal="center" vertical="center"/>
    </xf>
    <xf numFmtId="1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0" xfId="0" applyNumberFormat="1" applyFont="1" applyFill="1" applyBorder="1" applyAlignment="1" applyProtection="1">
      <alignment vertical="center" wrapText="1"/>
    </xf>
    <xf numFmtId="1" fontId="10" fillId="2" borderId="8" xfId="0" applyNumberFormat="1" applyFont="1" applyFill="1" applyBorder="1" applyAlignment="1" applyProtection="1">
      <alignment vertical="center" wrapText="1"/>
    </xf>
    <xf numFmtId="1" fontId="0" fillId="2" borderId="0" xfId="0" applyNumberFormat="1" applyFill="1" applyBorder="1" applyAlignment="1">
      <alignment horizontal="left" vertical="center" wrapText="1"/>
    </xf>
    <xf numFmtId="1" fontId="0" fillId="0" borderId="0" xfId="0" applyNumberFormat="1" applyFill="1" applyBorder="1" applyAlignment="1" applyProtection="1">
      <alignment horizontal="center" wrapText="1"/>
    </xf>
    <xf numFmtId="1" fontId="0" fillId="2" borderId="0" xfId="0" applyNumberFormat="1" applyFill="1" applyBorder="1" applyAlignment="1" applyProtection="1">
      <alignment horizontal="left" vertical="center" wrapText="1"/>
    </xf>
    <xf numFmtId="1" fontId="0" fillId="0" borderId="0" xfId="0" applyNumberFormat="1" applyAlignment="1" applyProtection="1">
      <alignment horizontal="left" vertical="center" wrapText="1"/>
    </xf>
    <xf numFmtId="1" fontId="0" fillId="0" borderId="0" xfId="0" applyNumberFormat="1" applyBorder="1"/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 applyProtection="1">
      <alignment horizontal="center" vertical="center"/>
    </xf>
    <xf numFmtId="1" fontId="0" fillId="0" borderId="0" xfId="0" applyNumberFormat="1" applyBorder="1" applyAlignment="1" applyProtection="1">
      <alignment horizontal="left" vertical="center"/>
    </xf>
    <xf numFmtId="1" fontId="0" fillId="4" borderId="0" xfId="0" applyNumberFormat="1" applyFill="1"/>
    <xf numFmtId="1" fontId="13" fillId="2" borderId="0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left" wrapText="1"/>
    </xf>
    <xf numFmtId="1" fontId="2" fillId="0" borderId="0" xfId="0" applyNumberFormat="1" applyFont="1" applyFill="1" applyBorder="1" applyAlignment="1" applyProtection="1">
      <alignment horizontal="left"/>
    </xf>
    <xf numFmtId="1" fontId="15" fillId="0" borderId="0" xfId="0" applyNumberFormat="1" applyFont="1" applyBorder="1" applyAlignment="1" applyProtection="1">
      <alignment horizontal="center" vertical="center"/>
    </xf>
    <xf numFmtId="1" fontId="15" fillId="0" borderId="0" xfId="0" applyNumberFormat="1" applyFont="1" applyAlignment="1" applyProtection="1">
      <alignment horizontal="center" vertical="center" wrapText="1"/>
    </xf>
    <xf numFmtId="1" fontId="16" fillId="0" borderId="0" xfId="0" applyNumberFormat="1" applyFont="1" applyBorder="1" applyAlignment="1" applyProtection="1">
      <alignment horizontal="center" vertical="center"/>
    </xf>
    <xf numFmtId="1" fontId="15" fillId="0" borderId="0" xfId="0" applyNumberFormat="1" applyFont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1" fontId="4" fillId="0" borderId="0" xfId="0" applyNumberFormat="1" applyFont="1" applyAlignment="1">
      <alignment horizontal="center"/>
    </xf>
    <xf numFmtId="0" fontId="23" fillId="2" borderId="2" xfId="0" applyFont="1" applyFill="1" applyBorder="1" applyAlignment="1" applyProtection="1">
      <alignment horizontal="center" vertical="center" wrapText="1"/>
    </xf>
    <xf numFmtId="0" fontId="23" fillId="2" borderId="0" xfId="0" applyFont="1" applyFill="1" applyBorder="1" applyAlignment="1" applyProtection="1">
      <alignment horizontal="center" vertical="center" wrapText="1"/>
    </xf>
    <xf numFmtId="11" fontId="23" fillId="2" borderId="0" xfId="0" applyNumberFormat="1" applyFont="1" applyFill="1" applyBorder="1" applyAlignment="1" applyProtection="1">
      <alignment horizontal="center" vertical="center" wrapText="1"/>
    </xf>
    <xf numFmtId="0" fontId="23" fillId="2" borderId="0" xfId="0" applyFont="1" applyFill="1" applyBorder="1" applyAlignment="1" applyProtection="1">
      <alignment horizontal="center" vertical="center"/>
    </xf>
    <xf numFmtId="14" fontId="23" fillId="2" borderId="0" xfId="0" applyNumberFormat="1" applyFont="1" applyFill="1" applyBorder="1" applyAlignment="1" applyProtection="1">
      <alignment horizontal="center" vertical="center" wrapText="1"/>
    </xf>
    <xf numFmtId="14" fontId="23" fillId="2" borderId="7" xfId="0" applyNumberFormat="1" applyFont="1" applyFill="1" applyBorder="1" applyAlignment="1" applyProtection="1">
      <alignment horizontal="center" vertical="center" wrapText="1"/>
    </xf>
    <xf numFmtId="11" fontId="23" fillId="2" borderId="7" xfId="0" applyNumberFormat="1" applyFont="1" applyFill="1" applyBorder="1" applyAlignment="1" applyProtection="1">
      <alignment horizontal="center" vertical="center" wrapText="1"/>
    </xf>
    <xf numFmtId="0" fontId="24" fillId="2" borderId="2" xfId="0" applyFont="1" applyFill="1" applyBorder="1" applyAlignment="1" applyProtection="1">
      <alignment horizontal="center" vertical="center" wrapText="1"/>
    </xf>
    <xf numFmtId="0" fontId="24" fillId="2" borderId="0" xfId="0" applyFont="1" applyFill="1" applyBorder="1" applyAlignment="1" applyProtection="1">
      <alignment horizontal="center" vertical="center" wrapText="1"/>
    </xf>
    <xf numFmtId="0" fontId="24" fillId="2" borderId="0" xfId="0" applyFont="1" applyFill="1" applyBorder="1" applyAlignment="1" applyProtection="1">
      <alignment horizontal="center" vertical="center"/>
    </xf>
    <xf numFmtId="49" fontId="23" fillId="2" borderId="0" xfId="0" applyNumberFormat="1" applyFont="1" applyFill="1" applyBorder="1" applyAlignment="1" applyProtection="1">
      <alignment horizontal="center" vertical="center" wrapText="1"/>
    </xf>
    <xf numFmtId="49" fontId="23" fillId="2" borderId="7" xfId="0" applyNumberFormat="1" applyFont="1" applyFill="1" applyBorder="1" applyAlignment="1" applyProtection="1">
      <alignment horizontal="center" vertical="center" wrapText="1"/>
    </xf>
    <xf numFmtId="49" fontId="23" fillId="2" borderId="15" xfId="0" applyNumberFormat="1" applyFont="1" applyFill="1" applyBorder="1" applyAlignment="1" applyProtection="1">
      <alignment vertical="center" wrapText="1"/>
    </xf>
    <xf numFmtId="49" fontId="23" fillId="2" borderId="16" xfId="0" applyNumberFormat="1" applyFont="1" applyFill="1" applyBorder="1" applyAlignment="1" applyProtection="1">
      <alignment vertical="center" wrapText="1"/>
    </xf>
    <xf numFmtId="49" fontId="23" fillId="6" borderId="10" xfId="0" applyNumberFormat="1" applyFont="1" applyFill="1" applyBorder="1" applyAlignment="1" applyProtection="1">
      <alignment horizontal="center" vertical="center"/>
      <protection locked="0"/>
    </xf>
    <xf numFmtId="1" fontId="23" fillId="7" borderId="13" xfId="0" applyNumberFormat="1" applyFont="1" applyFill="1" applyBorder="1" applyAlignment="1" applyProtection="1">
      <alignment vertical="center" wrapText="1"/>
      <protection locked="0"/>
    </xf>
    <xf numFmtId="1" fontId="23" fillId="2" borderId="1" xfId="0" applyNumberFormat="1" applyFont="1" applyFill="1" applyBorder="1" applyAlignment="1" applyProtection="1">
      <alignment vertical="center" wrapText="1"/>
    </xf>
    <xf numFmtId="1" fontId="23" fillId="7" borderId="1" xfId="0" applyNumberFormat="1" applyFont="1" applyFill="1" applyBorder="1" applyAlignment="1" applyProtection="1">
      <alignment vertical="center" wrapText="1"/>
      <protection locked="0"/>
    </xf>
    <xf numFmtId="1" fontId="23" fillId="2" borderId="3" xfId="0" applyNumberFormat="1" applyFont="1" applyFill="1" applyBorder="1" applyAlignment="1" applyProtection="1">
      <alignment vertical="center" wrapText="1"/>
    </xf>
    <xf numFmtId="1" fontId="23" fillId="7" borderId="14" xfId="0" applyNumberFormat="1" applyFont="1" applyFill="1" applyBorder="1" applyAlignment="1" applyProtection="1">
      <alignment vertical="center" wrapText="1"/>
      <protection locked="0"/>
    </xf>
    <xf numFmtId="1" fontId="23" fillId="7" borderId="4" xfId="0" applyNumberFormat="1" applyFont="1" applyFill="1" applyBorder="1" applyAlignment="1" applyProtection="1">
      <alignment vertical="center" wrapText="1"/>
      <protection locked="0"/>
    </xf>
    <xf numFmtId="0" fontId="24" fillId="0" borderId="2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0" xfId="0" applyFont="1" applyBorder="1" applyProtection="1"/>
    <xf numFmtId="0" fontId="24" fillId="0" borderId="17" xfId="0" applyFont="1" applyBorder="1" applyAlignment="1" applyProtection="1">
      <alignment horizontal="center" vertical="center"/>
    </xf>
    <xf numFmtId="1" fontId="23" fillId="0" borderId="1" xfId="0" applyNumberFormat="1" applyFont="1" applyFill="1" applyBorder="1" applyAlignment="1" applyProtection="1">
      <alignment vertical="center" wrapText="1"/>
    </xf>
    <xf numFmtId="0" fontId="24" fillId="0" borderId="7" xfId="0" applyFont="1" applyBorder="1" applyAlignment="1" applyProtection="1">
      <alignment horizontal="center" vertical="center"/>
    </xf>
    <xf numFmtId="1" fontId="23" fillId="2" borderId="4" xfId="0" applyNumberFormat="1" applyFont="1" applyFill="1" applyBorder="1" applyAlignment="1" applyProtection="1">
      <alignment vertical="center" wrapText="1"/>
    </xf>
    <xf numFmtId="1" fontId="23" fillId="2" borderId="5" xfId="0" applyNumberFormat="1" applyFont="1" applyFill="1" applyBorder="1" applyAlignment="1" applyProtection="1">
      <alignment vertical="center" wrapText="1"/>
    </xf>
    <xf numFmtId="1" fontId="10" fillId="0" borderId="0" xfId="0" quotePrefix="1" applyNumberFormat="1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wrapText="1"/>
    </xf>
    <xf numFmtId="0" fontId="9" fillId="7" borderId="18" xfId="0" applyFont="1" applyFill="1" applyBorder="1" applyAlignment="1" applyProtection="1">
      <alignment horizontal="left" wrapText="1"/>
    </xf>
    <xf numFmtId="0" fontId="9" fillId="7" borderId="8" xfId="0" applyFont="1" applyFill="1" applyBorder="1" applyAlignment="1" applyProtection="1">
      <alignment horizontal="left" wrapText="1"/>
    </xf>
    <xf numFmtId="0" fontId="9" fillId="7" borderId="19" xfId="0" applyFont="1" applyFill="1" applyBorder="1" applyAlignment="1" applyProtection="1">
      <alignment horizontal="left" wrapText="1"/>
    </xf>
    <xf numFmtId="49" fontId="23" fillId="6" borderId="12" xfId="0" applyNumberFormat="1" applyFont="1" applyFill="1" applyBorder="1" applyAlignment="1" applyProtection="1">
      <alignment horizontal="center" vertical="center"/>
      <protection locked="0"/>
    </xf>
    <xf numFmtId="49" fontId="23" fillId="6" borderId="11" xfId="0" applyNumberFormat="1" applyFont="1" applyFill="1" applyBorder="1" applyAlignment="1" applyProtection="1">
      <alignment horizontal="center" vertical="center"/>
      <protection locked="0"/>
    </xf>
    <xf numFmtId="0" fontId="23" fillId="6" borderId="4" xfId="0" applyFont="1" applyFill="1" applyBorder="1" applyAlignment="1" applyProtection="1">
      <alignment horizontal="center" vertical="center" wrapText="1"/>
      <protection locked="0"/>
    </xf>
    <xf numFmtId="0" fontId="23" fillId="6" borderId="5" xfId="0" applyFont="1" applyFill="1" applyBorder="1" applyAlignment="1" applyProtection="1">
      <alignment horizontal="center" vertical="center" wrapText="1"/>
      <protection locked="0"/>
    </xf>
    <xf numFmtId="0" fontId="9" fillId="6" borderId="18" xfId="0" applyFont="1" applyFill="1" applyBorder="1" applyAlignment="1" applyProtection="1">
      <alignment horizontal="left"/>
    </xf>
    <xf numFmtId="0" fontId="9" fillId="6" borderId="8" xfId="0" applyFont="1" applyFill="1" applyBorder="1" applyAlignment="1" applyProtection="1">
      <alignment horizontal="left"/>
    </xf>
    <xf numFmtId="0" fontId="9" fillId="6" borderId="19" xfId="0" applyFont="1" applyFill="1" applyBorder="1" applyAlignment="1" applyProtection="1">
      <alignment horizontal="left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4" xfId="0" applyFont="1" applyFill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vertical="center" wrapText="1"/>
    </xf>
    <xf numFmtId="0" fontId="23" fillId="0" borderId="21" xfId="0" applyFont="1" applyBorder="1" applyAlignment="1" applyProtection="1">
      <alignment horizontal="center" vertical="center" wrapText="1"/>
    </xf>
    <xf numFmtId="0" fontId="23" fillId="0" borderId="15" xfId="0" applyFont="1" applyBorder="1" applyAlignment="1" applyProtection="1">
      <alignment horizontal="center" vertical="center" wrapText="1"/>
    </xf>
    <xf numFmtId="49" fontId="23" fillId="6" borderId="20" xfId="0" applyNumberFormat="1" applyFont="1" applyFill="1" applyBorder="1" applyAlignment="1" applyProtection="1">
      <alignment horizontal="center" vertical="center" wrapText="1"/>
      <protection locked="0"/>
    </xf>
    <xf numFmtId="49" fontId="23" fillId="6" borderId="17" xfId="0" applyNumberFormat="1" applyFont="1" applyFill="1" applyBorder="1" applyAlignment="1" applyProtection="1">
      <alignment horizontal="center" vertical="center" wrapText="1"/>
      <protection locked="0"/>
    </xf>
    <xf numFmtId="49" fontId="23" fillId="6" borderId="6" xfId="0" applyNumberFormat="1" applyFont="1" applyFill="1" applyBorder="1" applyAlignment="1" applyProtection="1">
      <alignment horizontal="center" vertical="center" wrapText="1"/>
      <protection locked="0"/>
    </xf>
    <xf numFmtId="49" fontId="23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14" xfId="0" applyFont="1" applyFill="1" applyBorder="1" applyAlignment="1" applyProtection="1">
      <alignment horizontal="center" vertical="center" wrapText="1"/>
    </xf>
    <xf numFmtId="0" fontId="24" fillId="2" borderId="4" xfId="0" applyFont="1" applyFill="1" applyBorder="1" applyAlignment="1" applyProtection="1">
      <alignment horizontal="center" vertical="center" wrapText="1"/>
    </xf>
    <xf numFmtId="0" fontId="24" fillId="2" borderId="20" xfId="0" applyFont="1" applyFill="1" applyBorder="1" applyAlignment="1" applyProtection="1">
      <alignment horizontal="center" vertical="center" wrapText="1"/>
    </xf>
    <xf numFmtId="0" fontId="23" fillId="2" borderId="20" xfId="0" applyFont="1" applyFill="1" applyBorder="1" applyAlignment="1" applyProtection="1">
      <alignment horizontal="center" vertical="center" wrapText="1"/>
    </xf>
    <xf numFmtId="0" fontId="23" fillId="2" borderId="12" xfId="0" applyFont="1" applyFill="1" applyBorder="1" applyAlignment="1" applyProtection="1">
      <alignment horizontal="center" vertical="center" wrapText="1"/>
    </xf>
    <xf numFmtId="0" fontId="23" fillId="2" borderId="6" xfId="0" applyFont="1" applyFill="1" applyBorder="1" applyAlignment="1" applyProtection="1">
      <alignment horizontal="center" vertical="center" wrapText="1"/>
    </xf>
    <xf numFmtId="0" fontId="24" fillId="0" borderId="2" xfId="0" applyFont="1" applyBorder="1" applyAlignment="1" applyProtection="1">
      <alignment horizontal="center" wrapText="1"/>
    </xf>
    <xf numFmtId="0" fontId="24" fillId="0" borderId="0" xfId="0" applyFont="1" applyBorder="1" applyAlignment="1" applyProtection="1">
      <alignment horizontal="center" wrapText="1"/>
    </xf>
    <xf numFmtId="0" fontId="24" fillId="0" borderId="7" xfId="0" applyFont="1" applyBorder="1" applyAlignment="1" applyProtection="1">
      <alignment horizontal="center" wrapText="1"/>
    </xf>
    <xf numFmtId="1" fontId="23" fillId="6" borderId="15" xfId="0" applyNumberFormat="1" applyFont="1" applyFill="1" applyBorder="1" applyAlignment="1" applyProtection="1">
      <alignment horizontal="center" vertical="center" wrapText="1"/>
    </xf>
    <xf numFmtId="1" fontId="23" fillId="6" borderId="16" xfId="0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Alignment="1">
      <alignment horizontal="left" vertical="center"/>
    </xf>
    <xf numFmtId="1" fontId="0" fillId="0" borderId="0" xfId="0" applyNumberFormat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9" fillId="9" borderId="18" xfId="0" applyFont="1" applyFill="1" applyBorder="1" applyAlignment="1" applyProtection="1">
      <alignment horizontal="left"/>
    </xf>
    <xf numFmtId="0" fontId="9" fillId="9" borderId="8" xfId="0" applyFont="1" applyFill="1" applyBorder="1" applyAlignment="1" applyProtection="1">
      <alignment horizontal="left"/>
    </xf>
    <xf numFmtId="0" fontId="9" fillId="9" borderId="19" xfId="0" applyFont="1" applyFill="1" applyBorder="1" applyAlignment="1" applyProtection="1">
      <alignment horizontal="left"/>
    </xf>
    <xf numFmtId="0" fontId="3" fillId="0" borderId="0" xfId="0" applyFont="1" applyAlignment="1" applyProtection="1">
      <alignment horizontal="left" wrapText="1"/>
    </xf>
    <xf numFmtId="0" fontId="23" fillId="0" borderId="4" xfId="0" applyFont="1" applyBorder="1" applyAlignment="1" applyProtection="1">
      <alignment horizontal="center" vertical="center" wrapText="1"/>
    </xf>
    <xf numFmtId="1" fontId="23" fillId="6" borderId="4" xfId="0" applyNumberFormat="1" applyFont="1" applyFill="1" applyBorder="1" applyAlignment="1" applyProtection="1">
      <alignment horizontal="center" vertical="center"/>
      <protection locked="0"/>
    </xf>
    <xf numFmtId="1" fontId="23" fillId="6" borderId="5" xfId="0" applyNumberFormat="1" applyFont="1" applyFill="1" applyBorder="1" applyAlignment="1" applyProtection="1">
      <alignment horizontal="center" vertical="center"/>
      <protection locked="0"/>
    </xf>
    <xf numFmtId="1" fontId="13" fillId="0" borderId="0" xfId="0" applyNumberFormat="1" applyFont="1" applyFill="1" applyBorder="1" applyAlignment="1" applyProtection="1">
      <alignment horizontal="center" vertical="center" textRotation="90" wrapText="1"/>
    </xf>
    <xf numFmtId="0" fontId="23" fillId="0" borderId="14" xfId="0" applyFont="1" applyBorder="1" applyAlignment="1" applyProtection="1">
      <alignment horizontal="center" vertical="center" wrapText="1"/>
    </xf>
    <xf numFmtId="0" fontId="23" fillId="6" borderId="6" xfId="0" applyFont="1" applyFill="1" applyBorder="1" applyAlignment="1" applyProtection="1">
      <alignment horizontal="center" vertical="center" wrapText="1"/>
      <protection locked="0"/>
    </xf>
    <xf numFmtId="0" fontId="23" fillId="6" borderId="17" xfId="0" applyFont="1" applyFill="1" applyBorder="1" applyAlignment="1" applyProtection="1">
      <alignment horizontal="center" vertical="center" wrapText="1"/>
      <protection locked="0"/>
    </xf>
    <xf numFmtId="0" fontId="23" fillId="0" borderId="26" xfId="0" applyFont="1" applyBorder="1" applyAlignment="1" applyProtection="1">
      <alignment horizontal="center" vertical="center" wrapText="1"/>
    </xf>
    <xf numFmtId="0" fontId="23" fillId="2" borderId="4" xfId="0" applyFont="1" applyFill="1" applyBorder="1" applyAlignment="1" applyProtection="1">
      <alignment horizontal="center" vertical="center" wrapText="1"/>
    </xf>
    <xf numFmtId="0" fontId="23" fillId="0" borderId="6" xfId="0" applyFont="1" applyBorder="1" applyAlignment="1" applyProtection="1">
      <alignment horizontal="center" vertical="center" wrapText="1"/>
    </xf>
    <xf numFmtId="0" fontId="23" fillId="0" borderId="10" xfId="0" applyFont="1" applyBorder="1" applyAlignment="1" applyProtection="1">
      <alignment horizontal="center" vertical="center" wrapText="1"/>
    </xf>
    <xf numFmtId="11" fontId="23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24" xfId="0" applyFont="1" applyFill="1" applyBorder="1" applyAlignment="1" applyProtection="1">
      <alignment horizontal="center" vertical="center" wrapText="1"/>
    </xf>
    <xf numFmtId="0" fontId="23" fillId="2" borderId="25" xfId="0" applyFont="1" applyFill="1" applyBorder="1" applyAlignment="1" applyProtection="1">
      <alignment horizontal="center" vertical="center" wrapText="1"/>
    </xf>
    <xf numFmtId="0" fontId="23" fillId="6" borderId="1" xfId="0" applyFont="1" applyFill="1" applyBorder="1" applyAlignment="1" applyProtection="1">
      <alignment horizontal="center" vertical="center" wrapText="1"/>
      <protection locked="0"/>
    </xf>
    <xf numFmtId="0" fontId="23" fillId="6" borderId="3" xfId="0" applyFont="1" applyFill="1" applyBorder="1" applyAlignment="1" applyProtection="1">
      <alignment horizontal="center" vertical="center" wrapText="1"/>
      <protection locked="0"/>
    </xf>
    <xf numFmtId="0" fontId="23" fillId="6" borderId="20" xfId="0" applyFont="1" applyFill="1" applyBorder="1" applyAlignment="1" applyProtection="1">
      <alignment horizontal="center" vertical="center" wrapText="1"/>
      <protection locked="0"/>
    </xf>
    <xf numFmtId="0" fontId="23" fillId="6" borderId="10" xfId="0" applyFont="1" applyFill="1" applyBorder="1" applyAlignment="1" applyProtection="1">
      <alignment horizontal="center" vertical="center" wrapText="1"/>
      <protection locked="0"/>
    </xf>
    <xf numFmtId="14" fontId="23" fillId="2" borderId="4" xfId="0" applyNumberFormat="1" applyFont="1" applyFill="1" applyBorder="1" applyAlignment="1" applyProtection="1">
      <alignment horizontal="center" vertical="center" wrapText="1"/>
    </xf>
    <xf numFmtId="0" fontId="24" fillId="10" borderId="6" xfId="0" applyFont="1" applyFill="1" applyBorder="1" applyAlignment="1" applyProtection="1">
      <alignment horizontal="center" vertical="center"/>
    </xf>
    <xf numFmtId="0" fontId="24" fillId="10" borderId="17" xfId="0" applyFont="1" applyFill="1" applyBorder="1" applyAlignment="1" applyProtection="1">
      <alignment horizontal="center" vertical="center"/>
    </xf>
    <xf numFmtId="0" fontId="23" fillId="9" borderId="23" xfId="0" applyFont="1" applyFill="1" applyBorder="1" applyAlignment="1" applyProtection="1">
      <alignment horizontal="center" vertical="center" wrapText="1"/>
      <protection locked="0"/>
    </xf>
    <xf numFmtId="0" fontId="23" fillId="9" borderId="27" xfId="0" applyFont="1" applyFill="1" applyBorder="1" applyAlignment="1" applyProtection="1">
      <alignment horizontal="center" vertical="center" wrapText="1"/>
      <protection locked="0"/>
    </xf>
    <xf numFmtId="0" fontId="23" fillId="2" borderId="28" xfId="0" applyFont="1" applyFill="1" applyBorder="1" applyAlignment="1" applyProtection="1">
      <alignment horizontal="center" vertical="center" wrapText="1"/>
    </xf>
    <xf numFmtId="0" fontId="23" fillId="0" borderId="12" xfId="0" applyFont="1" applyFill="1" applyBorder="1" applyAlignment="1" applyProtection="1">
      <alignment horizontal="center" vertical="center" wrapText="1"/>
    </xf>
    <xf numFmtId="0" fontId="23" fillId="0" borderId="6" xfId="0" applyFont="1" applyFill="1" applyBorder="1" applyAlignment="1" applyProtection="1">
      <alignment horizontal="center" vertical="center"/>
    </xf>
    <xf numFmtId="0" fontId="23" fillId="0" borderId="33" xfId="0" applyFont="1" applyFill="1" applyBorder="1" applyAlignment="1" applyProtection="1">
      <alignment horizontal="center" vertical="center"/>
    </xf>
    <xf numFmtId="0" fontId="23" fillId="6" borderId="14" xfId="0" applyFont="1" applyFill="1" applyBorder="1" applyAlignment="1" applyProtection="1">
      <alignment horizontal="center" vertical="center" wrapText="1"/>
    </xf>
    <xf numFmtId="0" fontId="23" fillId="6" borderId="4" xfId="0" applyFont="1" applyFill="1" applyBorder="1" applyAlignment="1" applyProtection="1">
      <alignment horizontal="center" vertical="center" wrapText="1"/>
    </xf>
    <xf numFmtId="0" fontId="23" fillId="6" borderId="11" xfId="0" applyFont="1" applyFill="1" applyBorder="1" applyAlignment="1" applyProtection="1">
      <alignment horizontal="center" vertical="center" wrapText="1"/>
      <protection locked="0"/>
    </xf>
    <xf numFmtId="1" fontId="23" fillId="8" borderId="6" xfId="0" applyNumberFormat="1" applyFont="1" applyFill="1" applyBorder="1" applyAlignment="1" applyProtection="1">
      <alignment horizontal="center" vertical="center"/>
      <protection locked="0"/>
    </xf>
    <xf numFmtId="1" fontId="23" fillId="8" borderId="17" xfId="0" applyNumberFormat="1" applyFont="1" applyFill="1" applyBorder="1" applyAlignment="1" applyProtection="1">
      <alignment horizontal="center" vertical="center"/>
      <protection locked="0"/>
    </xf>
    <xf numFmtId="0" fontId="23" fillId="2" borderId="22" xfId="0" applyFont="1" applyFill="1" applyBorder="1" applyAlignment="1" applyProtection="1">
      <alignment horizontal="center" vertical="center" wrapText="1"/>
    </xf>
    <xf numFmtId="0" fontId="23" fillId="2" borderId="23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23" fillId="6" borderId="25" xfId="0" applyFont="1" applyFill="1" applyBorder="1" applyAlignment="1" applyProtection="1">
      <alignment horizontal="center" vertical="center" wrapText="1"/>
      <protection locked="0"/>
    </xf>
    <xf numFmtId="0" fontId="23" fillId="6" borderId="29" xfId="0" applyFont="1" applyFill="1" applyBorder="1" applyAlignment="1" applyProtection="1">
      <alignment horizontal="center" vertical="center" wrapText="1"/>
      <protection locked="0"/>
    </xf>
    <xf numFmtId="14" fontId="23" fillId="6" borderId="4" xfId="0" applyNumberFormat="1" applyFont="1" applyFill="1" applyBorder="1" applyAlignment="1" applyProtection="1">
      <alignment horizontal="center" vertical="center" wrapText="1"/>
      <protection locked="0"/>
    </xf>
    <xf numFmtId="14" fontId="23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23" fillId="5" borderId="4" xfId="0" applyFont="1" applyFill="1" applyBorder="1" applyAlignment="1" applyProtection="1">
      <alignment horizontal="center" vertical="center" wrapText="1"/>
      <protection locked="0"/>
    </xf>
    <xf numFmtId="0" fontId="23" fillId="6" borderId="23" xfId="0" applyFont="1" applyFill="1" applyBorder="1" applyAlignment="1" applyProtection="1">
      <alignment horizontal="center" vertical="center" wrapText="1"/>
      <protection locked="0"/>
    </xf>
    <xf numFmtId="0" fontId="23" fillId="6" borderId="27" xfId="0" applyFont="1" applyFill="1" applyBorder="1" applyAlignment="1" applyProtection="1">
      <alignment horizontal="center" vertical="center" wrapText="1"/>
      <protection locked="0"/>
    </xf>
    <xf numFmtId="0" fontId="23" fillId="0" borderId="4" xfId="0" applyFont="1" applyFill="1" applyBorder="1" applyAlignment="1" applyProtection="1">
      <alignment horizontal="center" vertical="center" wrapText="1"/>
    </xf>
    <xf numFmtId="0" fontId="24" fillId="2" borderId="24" xfId="0" applyFont="1" applyFill="1" applyBorder="1" applyAlignment="1" applyProtection="1">
      <alignment horizontal="center" vertical="center" wrapText="1"/>
    </xf>
    <xf numFmtId="0" fontId="24" fillId="2" borderId="25" xfId="0" applyFont="1" applyFill="1" applyBorder="1" applyAlignment="1" applyProtection="1">
      <alignment horizontal="center" vertical="center" wrapText="1"/>
    </xf>
    <xf numFmtId="0" fontId="24" fillId="2" borderId="29" xfId="0" applyFont="1" applyFill="1" applyBorder="1" applyAlignment="1" applyProtection="1">
      <alignment horizontal="center" vertical="center" wrapText="1"/>
    </xf>
    <xf numFmtId="0" fontId="24" fillId="2" borderId="21" xfId="0" applyFont="1" applyFill="1" applyBorder="1" applyAlignment="1" applyProtection="1">
      <alignment horizontal="center" vertical="center" wrapText="1"/>
    </xf>
    <xf numFmtId="0" fontId="24" fillId="2" borderId="15" xfId="0" applyFont="1" applyFill="1" applyBorder="1" applyAlignment="1" applyProtection="1">
      <alignment horizontal="center" vertical="center" wrapText="1"/>
    </xf>
    <xf numFmtId="0" fontId="23" fillId="6" borderId="30" xfId="0" applyFont="1" applyFill="1" applyBorder="1" applyAlignment="1" applyProtection="1">
      <alignment horizontal="center" vertical="center"/>
      <protection locked="0"/>
    </xf>
    <xf numFmtId="0" fontId="23" fillId="6" borderId="16" xfId="0" applyFont="1" applyFill="1" applyBorder="1" applyAlignment="1" applyProtection="1">
      <alignment horizontal="center" vertical="center"/>
      <protection locked="0"/>
    </xf>
    <xf numFmtId="0" fontId="23" fillId="2" borderId="21" xfId="0" applyNumberFormat="1" applyFont="1" applyFill="1" applyBorder="1" applyAlignment="1" applyProtection="1">
      <alignment horizontal="center" vertical="center" wrapText="1"/>
    </xf>
    <xf numFmtId="0" fontId="23" fillId="2" borderId="15" xfId="0" applyNumberFormat="1" applyFont="1" applyFill="1" applyBorder="1" applyAlignment="1" applyProtection="1">
      <alignment horizontal="center" vertical="center" wrapText="1"/>
    </xf>
    <xf numFmtId="0" fontId="23" fillId="2" borderId="26" xfId="0" applyNumberFormat="1" applyFont="1" applyFill="1" applyBorder="1" applyAlignment="1" applyProtection="1">
      <alignment horizontal="center" vertical="center" wrapText="1"/>
    </xf>
    <xf numFmtId="0" fontId="23" fillId="6" borderId="26" xfId="0" applyFont="1" applyFill="1" applyBorder="1" applyAlignment="1" applyProtection="1">
      <alignment horizontal="center" vertical="center"/>
      <protection locked="0"/>
    </xf>
    <xf numFmtId="49" fontId="23" fillId="2" borderId="15" xfId="0" applyNumberFormat="1" applyFont="1" applyFill="1" applyBorder="1" applyAlignment="1" applyProtection="1">
      <alignment horizontal="center" vertical="center" wrapText="1"/>
    </xf>
    <xf numFmtId="49" fontId="23" fillId="2" borderId="16" xfId="0" applyNumberFormat="1" applyFont="1" applyFill="1" applyBorder="1" applyAlignment="1" applyProtection="1">
      <alignment horizontal="center" vertical="center" wrapText="1"/>
    </xf>
    <xf numFmtId="0" fontId="23" fillId="6" borderId="4" xfId="0" applyNumberFormat="1" applyFont="1" applyFill="1" applyBorder="1" applyAlignment="1" applyProtection="1">
      <alignment horizontal="center" vertical="center"/>
      <protection locked="0"/>
    </xf>
    <xf numFmtId="1" fontId="23" fillId="6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 wrapText="1"/>
    </xf>
    <xf numFmtId="0" fontId="10" fillId="6" borderId="4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13" fillId="6" borderId="20" xfId="0" applyFont="1" applyFill="1" applyBorder="1" applyAlignment="1" applyProtection="1">
      <alignment horizontal="center" vertical="center" wrapText="1"/>
    </xf>
    <xf numFmtId="0" fontId="13" fillId="6" borderId="6" xfId="0" applyFont="1" applyFill="1" applyBorder="1" applyAlignment="1" applyProtection="1">
      <alignment horizontal="center" vertical="center" wrapText="1"/>
    </xf>
    <xf numFmtId="0" fontId="13" fillId="6" borderId="10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10" fillId="2" borderId="12" xfId="0" applyFont="1" applyFill="1" applyBorder="1" applyAlignment="1" applyProtection="1">
      <alignment horizontal="center" vertical="center" wrapText="1"/>
    </xf>
    <xf numFmtId="0" fontId="10" fillId="2" borderId="2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</xf>
    <xf numFmtId="1" fontId="13" fillId="0" borderId="31" xfId="0" applyNumberFormat="1" applyFont="1" applyFill="1" applyBorder="1" applyAlignment="1" applyProtection="1">
      <alignment horizontal="center" vertical="center" textRotation="90" wrapText="1"/>
    </xf>
    <xf numFmtId="1" fontId="13" fillId="0" borderId="32" xfId="0" applyNumberFormat="1" applyFont="1" applyFill="1" applyBorder="1" applyAlignment="1" applyProtection="1">
      <alignment horizontal="center" vertical="center" textRotation="90" wrapText="1"/>
    </xf>
    <xf numFmtId="0" fontId="13" fillId="6" borderId="25" xfId="0" applyFont="1" applyFill="1" applyBorder="1" applyAlignment="1" applyProtection="1">
      <alignment horizontal="center" vertical="center" wrapText="1"/>
    </xf>
    <xf numFmtId="0" fontId="13" fillId="6" borderId="29" xfId="0" applyFont="1" applyFill="1" applyBorder="1" applyAlignment="1" applyProtection="1">
      <alignment horizontal="center" vertical="center" wrapText="1"/>
    </xf>
    <xf numFmtId="14" fontId="13" fillId="6" borderId="4" xfId="0" applyNumberFormat="1" applyFont="1" applyFill="1" applyBorder="1" applyAlignment="1" applyProtection="1">
      <alignment horizontal="center" vertical="center" wrapText="1"/>
    </xf>
    <xf numFmtId="14" fontId="13" fillId="6" borderId="5" xfId="0" applyNumberFormat="1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0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6" borderId="23" xfId="0" applyFont="1" applyFill="1" applyBorder="1" applyAlignment="1" applyProtection="1">
      <alignment horizontal="center" vertical="center" wrapText="1"/>
    </xf>
    <xf numFmtId="0" fontId="10" fillId="6" borderId="27" xfId="0" applyFont="1" applyFill="1" applyBorder="1" applyAlignment="1" applyProtection="1">
      <alignment horizontal="center" vertical="center" wrapText="1"/>
    </xf>
    <xf numFmtId="14" fontId="13" fillId="2" borderId="4" xfId="0" applyNumberFormat="1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/>
    </xf>
    <xf numFmtId="11" fontId="13" fillId="6" borderId="4" xfId="0" applyNumberFormat="1" applyFont="1" applyFill="1" applyBorder="1" applyAlignment="1" applyProtection="1">
      <alignment horizontal="center" vertical="center" wrapText="1"/>
    </xf>
    <xf numFmtId="0" fontId="10" fillId="2" borderId="24" xfId="0" applyFont="1" applyFill="1" applyBorder="1" applyAlignment="1" applyProtection="1">
      <alignment horizontal="center" vertical="center" wrapText="1"/>
    </xf>
    <xf numFmtId="0" fontId="10" fillId="2" borderId="25" xfId="0" applyFont="1" applyFill="1" applyBorder="1" applyAlignment="1" applyProtection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</xf>
    <xf numFmtId="0" fontId="10" fillId="6" borderId="3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 wrapText="1"/>
    </xf>
    <xf numFmtId="1" fontId="13" fillId="6" borderId="4" xfId="0" applyNumberFormat="1" applyFont="1" applyFill="1" applyBorder="1" applyAlignment="1" applyProtection="1">
      <alignment horizontal="center" vertical="center"/>
    </xf>
    <xf numFmtId="1" fontId="13" fillId="6" borderId="5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13" fillId="6" borderId="17" xfId="0" applyFont="1" applyFill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49" fontId="13" fillId="6" borderId="20" xfId="0" applyNumberFormat="1" applyFont="1" applyFill="1" applyBorder="1" applyAlignment="1" applyProtection="1">
      <alignment horizontal="center" vertical="center" wrapText="1"/>
    </xf>
    <xf numFmtId="49" fontId="13" fillId="6" borderId="17" xfId="0" applyNumberFormat="1" applyFont="1" applyFill="1" applyBorder="1" applyAlignment="1" applyProtection="1">
      <alignment horizontal="center" vertical="center" wrapText="1"/>
    </xf>
    <xf numFmtId="49" fontId="13" fillId="6" borderId="6" xfId="0" applyNumberFormat="1" applyFont="1" applyFill="1" applyBorder="1" applyAlignment="1" applyProtection="1">
      <alignment horizontal="center" vertical="center" wrapText="1"/>
    </xf>
    <xf numFmtId="49" fontId="13" fillId="6" borderId="10" xfId="0" applyNumberFormat="1" applyFont="1" applyFill="1" applyBorder="1" applyAlignment="1" applyProtection="1">
      <alignment horizontal="center" vertical="center" wrapText="1"/>
    </xf>
    <xf numFmtId="0" fontId="10" fillId="0" borderId="26" xfId="0" applyFont="1" applyBorder="1" applyAlignment="1" applyProtection="1">
      <alignment horizontal="center" vertical="center" wrapText="1"/>
    </xf>
    <xf numFmtId="1" fontId="10" fillId="6" borderId="15" xfId="0" applyNumberFormat="1" applyFont="1" applyFill="1" applyBorder="1" applyAlignment="1" applyProtection="1">
      <alignment horizontal="center" vertical="center" wrapText="1"/>
    </xf>
    <xf numFmtId="1" fontId="10" fillId="6" borderId="16" xfId="0" applyNumberFormat="1" applyFont="1" applyFill="1" applyBorder="1" applyAlignment="1" applyProtection="1">
      <alignment horizontal="center" vertical="center" wrapText="1"/>
    </xf>
    <xf numFmtId="0" fontId="13" fillId="6" borderId="20" xfId="0" applyFont="1" applyFill="1" applyBorder="1" applyAlignment="1" applyProtection="1">
      <alignment horizontal="center" vertical="center"/>
    </xf>
    <xf numFmtId="0" fontId="13" fillId="6" borderId="17" xfId="0" applyFont="1" applyFill="1" applyBorder="1" applyAlignment="1" applyProtection="1">
      <alignment horizontal="center" vertical="center"/>
    </xf>
    <xf numFmtId="0" fontId="10" fillId="6" borderId="5" xfId="0" applyFont="1" applyFill="1" applyBorder="1" applyAlignment="1" applyProtection="1">
      <alignment horizontal="center" vertical="center" wrapText="1"/>
    </xf>
    <xf numFmtId="0" fontId="10" fillId="9" borderId="23" xfId="0" applyFont="1" applyFill="1" applyBorder="1" applyAlignment="1" applyProtection="1">
      <alignment horizontal="center" vertical="center" wrapText="1"/>
    </xf>
    <xf numFmtId="0" fontId="10" fillId="9" borderId="27" xfId="0" applyFont="1" applyFill="1" applyBorder="1" applyAlignment="1" applyProtection="1">
      <alignment horizontal="center" vertical="center" wrapText="1"/>
    </xf>
    <xf numFmtId="0" fontId="10" fillId="2" borderId="28" xfId="0" applyFont="1" applyFill="1" applyBorder="1" applyAlignment="1" applyProtection="1">
      <alignment horizontal="center" vertical="center" wrapText="1"/>
    </xf>
    <xf numFmtId="49" fontId="13" fillId="6" borderId="12" xfId="0" applyNumberFormat="1" applyFont="1" applyFill="1" applyBorder="1" applyAlignment="1" applyProtection="1">
      <alignment horizontal="center" vertical="center"/>
    </xf>
    <xf numFmtId="49" fontId="13" fillId="6" borderId="11" xfId="0" applyNumberFormat="1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center" vertical="center"/>
    </xf>
    <xf numFmtId="0" fontId="10" fillId="6" borderId="20" xfId="0" applyFont="1" applyFill="1" applyBorder="1" applyAlignment="1" applyProtection="1">
      <alignment horizontal="center" vertical="center" wrapText="1"/>
    </xf>
    <xf numFmtId="0" fontId="10" fillId="6" borderId="11" xfId="0" applyFont="1" applyFill="1" applyBorder="1" applyAlignment="1" applyProtection="1">
      <alignment horizontal="center" vertical="center" wrapText="1"/>
    </xf>
    <xf numFmtId="1" fontId="13" fillId="8" borderId="6" xfId="0" applyNumberFormat="1" applyFont="1" applyFill="1" applyBorder="1" applyAlignment="1" applyProtection="1">
      <alignment horizontal="center" vertical="center"/>
    </xf>
    <xf numFmtId="1" fontId="13" fillId="8" borderId="17" xfId="0" applyNumberFormat="1" applyFont="1" applyFill="1" applyBorder="1" applyAlignment="1" applyProtection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0</xdr:colOff>
      <xdr:row>13</xdr:row>
      <xdr:rowOff>57150</xdr:rowOff>
    </xdr:from>
    <xdr:to>
      <xdr:col>47</xdr:col>
      <xdr:colOff>0</xdr:colOff>
      <xdr:row>14</xdr:row>
      <xdr:rowOff>0</xdr:rowOff>
    </xdr:to>
    <xdr:sp macro="" textlink="">
      <xdr:nvSpPr>
        <xdr:cNvPr id="12761" name="Rectangle 187" descr="10%">
          <a:extLst>
            <a:ext uri="{FF2B5EF4-FFF2-40B4-BE49-F238E27FC236}">
              <a16:creationId xmlns:a16="http://schemas.microsoft.com/office/drawing/2014/main" id="{FFA9D35A-7004-47A2-ADF0-47C449C00D99}"/>
            </a:ext>
          </a:extLst>
        </xdr:cNvPr>
        <xdr:cNvSpPr>
          <a:spLocks noChangeArrowheads="1"/>
        </xdr:cNvSpPr>
      </xdr:nvSpPr>
      <xdr:spPr bwMode="auto">
        <a:xfrm>
          <a:off x="7419975" y="2981325"/>
          <a:ext cx="0" cy="247650"/>
        </a:xfrm>
        <a:prstGeom prst="rect">
          <a:avLst/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158844</xdr:colOff>
      <xdr:row>5</xdr:row>
      <xdr:rowOff>28576</xdr:rowOff>
    </xdr:from>
    <xdr:to>
      <xdr:col>31</xdr:col>
      <xdr:colOff>8364</xdr:colOff>
      <xdr:row>5</xdr:row>
      <xdr:rowOff>419100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44997023-1BB7-4C60-B9B6-89964647E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94" y="838201"/>
          <a:ext cx="3935745" cy="390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0</xdr:colOff>
      <xdr:row>13</xdr:row>
      <xdr:rowOff>57150</xdr:rowOff>
    </xdr:from>
    <xdr:to>
      <xdr:col>47</xdr:col>
      <xdr:colOff>0</xdr:colOff>
      <xdr:row>14</xdr:row>
      <xdr:rowOff>0</xdr:rowOff>
    </xdr:to>
    <xdr:sp macro="" textlink="">
      <xdr:nvSpPr>
        <xdr:cNvPr id="22631" name="Rectangle 2" descr="10%">
          <a:extLst>
            <a:ext uri="{FF2B5EF4-FFF2-40B4-BE49-F238E27FC236}">
              <a16:creationId xmlns:a16="http://schemas.microsoft.com/office/drawing/2014/main" id="{593FBFDE-E0DB-4530-9EF1-50D8ABBBCB2B}"/>
            </a:ext>
          </a:extLst>
        </xdr:cNvPr>
        <xdr:cNvSpPr>
          <a:spLocks noChangeArrowheads="1"/>
        </xdr:cNvSpPr>
      </xdr:nvSpPr>
      <xdr:spPr bwMode="auto">
        <a:xfrm>
          <a:off x="7915275" y="2943225"/>
          <a:ext cx="0" cy="247650"/>
        </a:xfrm>
        <a:prstGeom prst="rect">
          <a:avLst/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171450</xdr:colOff>
      <xdr:row>4</xdr:row>
      <xdr:rowOff>141325</xdr:rowOff>
    </xdr:from>
    <xdr:to>
      <xdr:col>30</xdr:col>
      <xdr:colOff>28575</xdr:colOff>
      <xdr:row>6</xdr:row>
      <xdr:rowOff>37377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DCF73D90-864A-47D8-B640-7A93C8F65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2700" y="789025"/>
          <a:ext cx="3848100" cy="3818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DN75"/>
  <sheetViews>
    <sheetView showGridLines="0" tabSelected="1" topLeftCell="A2" zoomScaleNormal="100" zoomScaleSheetLayoutView="100" workbookViewId="0">
      <selection activeCell="K18" sqref="K18:L18"/>
    </sheetView>
  </sheetViews>
  <sheetFormatPr baseColWidth="10" defaultRowHeight="12.75" x14ac:dyDescent="0.2"/>
  <cols>
    <col min="1" max="1" width="19" customWidth="1"/>
    <col min="2" max="4" width="3.7109375" customWidth="1"/>
    <col min="5" max="5" width="5.5703125" customWidth="1"/>
    <col min="6" max="6" width="3.28515625" customWidth="1"/>
    <col min="7" max="7" width="1.42578125" customWidth="1"/>
    <col min="8" max="8" width="3.28515625" customWidth="1"/>
    <col min="9" max="9" width="1.42578125" customWidth="1"/>
    <col min="10" max="10" width="3.28515625" customWidth="1"/>
    <col min="11" max="11" width="1.42578125" customWidth="1"/>
    <col min="12" max="12" width="3.28515625" customWidth="1"/>
    <col min="13" max="13" width="1.42578125" customWidth="1"/>
    <col min="14" max="14" width="3.28515625" customWidth="1"/>
    <col min="15" max="15" width="1.42578125" customWidth="1"/>
    <col min="16" max="16" width="3.28515625" customWidth="1"/>
    <col min="17" max="17" width="1.42578125" customWidth="1"/>
    <col min="18" max="18" width="3.28515625" customWidth="1"/>
    <col min="19" max="19" width="1.42578125" customWidth="1"/>
    <col min="20" max="20" width="3.28515625" customWidth="1"/>
    <col min="21" max="21" width="1.42578125" customWidth="1"/>
    <col min="22" max="22" width="3.28515625" customWidth="1"/>
    <col min="23" max="23" width="1.42578125" customWidth="1"/>
    <col min="24" max="24" width="3.28515625" customWidth="1"/>
    <col min="25" max="25" width="1.42578125" customWidth="1"/>
    <col min="26" max="26" width="3.28515625" customWidth="1"/>
    <col min="27" max="27" width="1.42578125" customWidth="1"/>
    <col min="28" max="28" width="3.28515625" customWidth="1"/>
    <col min="29" max="29" width="1.42578125" customWidth="1"/>
    <col min="30" max="30" width="3.28515625" customWidth="1"/>
    <col min="31" max="31" width="1.42578125" customWidth="1"/>
    <col min="32" max="32" width="3.28515625" customWidth="1"/>
    <col min="33" max="33" width="1.42578125" customWidth="1"/>
    <col min="34" max="34" width="3.28515625" customWidth="1"/>
    <col min="35" max="35" width="1.42578125" customWidth="1"/>
    <col min="36" max="36" width="3.28515625" customWidth="1"/>
    <col min="37" max="37" width="1.5703125" customWidth="1"/>
    <col min="38" max="38" width="7.42578125" style="103" customWidth="1"/>
    <col min="39" max="39" width="15" style="57" hidden="1" customWidth="1"/>
    <col min="40" max="40" width="12.5703125" style="12" hidden="1" customWidth="1"/>
    <col min="41" max="41" width="14.85546875" style="13" hidden="1" customWidth="1"/>
    <col min="42" max="42" width="9.42578125" style="13" hidden="1" customWidth="1"/>
    <col min="43" max="43" width="5.7109375" style="13" hidden="1" customWidth="1"/>
    <col min="44" max="44" width="6.28515625" style="13" hidden="1" customWidth="1"/>
    <col min="45" max="45" width="8.140625" style="13" hidden="1" customWidth="1"/>
    <col min="46" max="46" width="6.7109375" style="13" hidden="1" customWidth="1"/>
    <col min="47" max="47" width="7.85546875" style="13" hidden="1" customWidth="1"/>
    <col min="48" max="48" width="4.28515625" style="13" hidden="1" customWidth="1"/>
    <col min="49" max="49" width="7.85546875" hidden="1" customWidth="1"/>
    <col min="50" max="50" width="6.5703125" hidden="1" customWidth="1"/>
    <col min="51" max="51" width="14" style="62" hidden="1" customWidth="1"/>
    <col min="52" max="52" width="20" style="62" hidden="1" customWidth="1"/>
    <col min="53" max="53" width="14" style="63" hidden="1" customWidth="1"/>
    <col min="54" max="56" width="4.140625" style="62" hidden="1" customWidth="1"/>
    <col min="57" max="57" width="6" style="62" hidden="1" customWidth="1"/>
    <col min="58" max="58" width="6.28515625" style="62" hidden="1" customWidth="1"/>
    <col min="59" max="59" width="5.5703125" style="62" hidden="1" customWidth="1"/>
    <col min="60" max="68" width="11.42578125" style="62" hidden="1" customWidth="1"/>
    <col min="69" max="74" width="11.42578125" hidden="1" customWidth="1"/>
    <col min="75" max="105" width="2.7109375" hidden="1" customWidth="1"/>
    <col min="106" max="106" width="4.28515625" hidden="1" customWidth="1"/>
    <col min="107" max="107" width="3.85546875" hidden="1" customWidth="1"/>
    <col min="108" max="117" width="2.7109375" hidden="1" customWidth="1"/>
    <col min="118" max="118" width="10.7109375" hidden="1" customWidth="1"/>
    <col min="119" max="135" width="10.7109375" customWidth="1"/>
  </cols>
  <sheetData>
    <row r="1" spans="1:107" ht="12.75" customHeight="1" x14ac:dyDescent="0.2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14"/>
      <c r="AM1" s="92"/>
      <c r="AN1" s="92"/>
      <c r="AO1" s="115" t="s">
        <v>40</v>
      </c>
      <c r="AP1" s="116"/>
      <c r="AQ1" s="116"/>
      <c r="AR1" s="116"/>
      <c r="AS1" s="116"/>
      <c r="AT1" s="116"/>
      <c r="AU1" s="116"/>
      <c r="AV1" s="116"/>
      <c r="AW1" s="116"/>
      <c r="AX1" s="117"/>
      <c r="AY1" s="63" t="s">
        <v>59</v>
      </c>
      <c r="AZ1" s="63" t="s">
        <v>58</v>
      </c>
      <c r="BA1" s="63" t="s">
        <v>100</v>
      </c>
      <c r="BB1" s="63"/>
      <c r="BC1" s="63" t="s">
        <v>51</v>
      </c>
      <c r="BD1" s="63" t="s">
        <v>52</v>
      </c>
      <c r="BE1" s="159" t="s">
        <v>125</v>
      </c>
      <c r="BF1" s="159" t="s">
        <v>53</v>
      </c>
      <c r="BG1" s="159" t="s">
        <v>126</v>
      </c>
      <c r="BH1" s="159" t="s">
        <v>54</v>
      </c>
      <c r="BI1" s="159" t="s">
        <v>127</v>
      </c>
      <c r="BJ1" s="159" t="s">
        <v>128</v>
      </c>
      <c r="BK1" s="159" t="s">
        <v>55</v>
      </c>
      <c r="BL1" s="159" t="s">
        <v>56</v>
      </c>
      <c r="BM1" s="159" t="s">
        <v>101</v>
      </c>
      <c r="BN1" s="159" t="s">
        <v>152</v>
      </c>
      <c r="BO1" s="159" t="s">
        <v>57</v>
      </c>
      <c r="BP1" s="159" t="s">
        <v>124</v>
      </c>
      <c r="BQ1" s="117" t="s">
        <v>91</v>
      </c>
      <c r="BR1" s="117" t="s">
        <v>92</v>
      </c>
      <c r="BS1" s="117" t="s">
        <v>93</v>
      </c>
      <c r="BT1" s="117" t="s">
        <v>94</v>
      </c>
      <c r="BU1" s="117" t="s">
        <v>95</v>
      </c>
      <c r="BV1" s="117" t="s">
        <v>96</v>
      </c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8" t="str">
        <f>IF($K$18="x",$AJ$23*2,$AJ$23)</f>
        <v/>
      </c>
      <c r="DC1" s="105" t="s">
        <v>123</v>
      </c>
    </row>
    <row r="2" spans="1:107" x14ac:dyDescent="0.2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14"/>
      <c r="AM2" s="119" t="s">
        <v>39</v>
      </c>
      <c r="AN2" s="119"/>
      <c r="AO2" s="115" t="s">
        <v>41</v>
      </c>
      <c r="AP2" s="116" t="s">
        <v>42</v>
      </c>
      <c r="AQ2" s="116" t="s">
        <v>43</v>
      </c>
      <c r="AR2" s="116" t="s">
        <v>44</v>
      </c>
      <c r="AS2" s="116" t="s">
        <v>46</v>
      </c>
      <c r="AT2" s="116" t="s">
        <v>47</v>
      </c>
      <c r="AU2" s="116" t="s">
        <v>48</v>
      </c>
      <c r="AV2" s="116"/>
      <c r="AW2" s="116" t="s">
        <v>49</v>
      </c>
      <c r="AX2" s="116" t="s">
        <v>50</v>
      </c>
      <c r="AY2" s="63">
        <f>IF(F$20="x",BA2,AZ2)</f>
        <v>2</v>
      </c>
      <c r="AZ2" s="118">
        <v>2</v>
      </c>
      <c r="BA2" s="63" t="str">
        <f>IF($AH$21=8,$BD2,IF($AH$21=10,$BE2,IF($AH$21=12,$BF2,IF($AH$21=14,$BG2,IF($AH$21=16,$BH2,IF($AH$21=18,$BI2,BJ2))))))</f>
        <v/>
      </c>
      <c r="BB2" s="63"/>
      <c r="BC2" s="63">
        <f>IF($K$18="x",2*2,2)</f>
        <v>2</v>
      </c>
      <c r="BD2" s="63">
        <v>2</v>
      </c>
      <c r="BE2" s="63">
        <v>2</v>
      </c>
      <c r="BF2" s="63">
        <v>2</v>
      </c>
      <c r="BG2" s="63">
        <v>2</v>
      </c>
      <c r="BH2" s="63">
        <v>2</v>
      </c>
      <c r="BI2" s="63">
        <v>2</v>
      </c>
      <c r="BJ2" s="63" t="str">
        <f>IF(AH$21=20,BK2,IF(AH$21=24,BL2,IF(AH$21=28,BM2,IF(AH$21=30,BN2,IF(AH$21=32,BO2,IF(AH$21=48,BP2,""))))))</f>
        <v/>
      </c>
      <c r="BK2" s="63">
        <v>2</v>
      </c>
      <c r="BL2" s="63">
        <v>2</v>
      </c>
      <c r="BM2" s="63">
        <v>2</v>
      </c>
      <c r="BN2" s="63">
        <v>2</v>
      </c>
      <c r="BO2" s="63">
        <v>2</v>
      </c>
      <c r="BP2" s="63">
        <v>2</v>
      </c>
      <c r="BQ2" s="117" t="str">
        <f t="shared" ref="BQ2:BQ42" si="0">IF(R$20="x",IF(L$21="x",BR2,IF(P$21="x",BS2,IF(T$21="x",BT2,""))),"")</f>
        <v/>
      </c>
      <c r="BR2" s="117">
        <v>30</v>
      </c>
      <c r="BS2" s="117">
        <v>45</v>
      </c>
      <c r="BT2" s="117">
        <v>45</v>
      </c>
      <c r="BU2" s="117" t="s">
        <v>97</v>
      </c>
      <c r="BV2" s="117">
        <v>1</v>
      </c>
      <c r="BW2" s="117"/>
      <c r="BX2" s="117">
        <v>1</v>
      </c>
      <c r="BY2" s="117"/>
      <c r="BZ2" s="117">
        <v>1</v>
      </c>
      <c r="CA2" s="117"/>
      <c r="CB2" s="117">
        <v>2</v>
      </c>
      <c r="CC2" s="117"/>
      <c r="CD2" s="117">
        <v>2</v>
      </c>
      <c r="CE2" s="117"/>
      <c r="CF2" s="117">
        <v>3</v>
      </c>
      <c r="CG2" s="117"/>
      <c r="CH2" s="117">
        <v>3</v>
      </c>
      <c r="CI2" s="117"/>
      <c r="CJ2" s="117">
        <v>4</v>
      </c>
      <c r="CK2" s="117"/>
      <c r="CL2" s="117">
        <v>4</v>
      </c>
      <c r="CM2" s="117"/>
      <c r="CN2" s="117">
        <v>5</v>
      </c>
      <c r="CO2" s="117"/>
      <c r="CP2" s="117">
        <v>5</v>
      </c>
      <c r="CQ2" s="117"/>
      <c r="CR2" s="117">
        <v>6</v>
      </c>
      <c r="CS2" s="117"/>
      <c r="CT2" s="117">
        <v>6</v>
      </c>
      <c r="CU2" s="117"/>
      <c r="CV2" s="117">
        <v>7</v>
      </c>
      <c r="CW2" s="117"/>
      <c r="CX2" s="117">
        <v>7</v>
      </c>
      <c r="CY2" s="117"/>
      <c r="CZ2" s="117">
        <v>8</v>
      </c>
      <c r="DA2" s="117"/>
      <c r="DB2" s="117">
        <v>8</v>
      </c>
      <c r="DC2" s="105" t="s">
        <v>111</v>
      </c>
    </row>
    <row r="3" spans="1:107" x14ac:dyDescent="0.2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14"/>
      <c r="AM3" s="119" t="s">
        <v>104</v>
      </c>
      <c r="AN3" s="120">
        <f>IF(I15="6/6",1,IF(I15="6/3",2,IF(I15="6/2",3,I15)))</f>
        <v>0</v>
      </c>
      <c r="AO3" s="121" t="str">
        <f>IF(AND(G12="",G14=""),"x","")</f>
        <v>x</v>
      </c>
      <c r="AP3" s="122" t="str">
        <f>IF(AND(F20="",R20=""),"x","")</f>
        <v>x</v>
      </c>
      <c r="AQ3" s="122" t="str">
        <f>IF(AND(L21="",P21="",T21=""),"x","")</f>
        <v>x</v>
      </c>
      <c r="AR3" s="122" t="str">
        <f t="shared" ref="AR3:AR8" si="1">IF(L$21="x",AS3,IF(P$21="x",AT3,IF(T$21="x",AU3," ")))</f>
        <v xml:space="preserve"> </v>
      </c>
      <c r="AS3" s="42">
        <v>8</v>
      </c>
      <c r="AT3" s="116">
        <v>4</v>
      </c>
      <c r="AU3" s="116">
        <v>4</v>
      </c>
      <c r="AV3" s="116"/>
      <c r="AW3" s="116" t="str">
        <f>IF(G$14="x","",IF(AND(M23="",T23=""),"x",""))</f>
        <v>x</v>
      </c>
      <c r="AX3" s="117" t="str">
        <f>IF(G$14="x","x",IF(AND(M23="",T23=""),"x",""))</f>
        <v>x</v>
      </c>
      <c r="AY3" s="63">
        <f t="shared" ref="AY3:AY12" si="2">IF(F$20="x",BA3,AZ3)</f>
        <v>4</v>
      </c>
      <c r="AZ3" s="118">
        <v>4</v>
      </c>
      <c r="BA3" s="63" t="str">
        <f>IF($AH$21=8,$BD3,IF($AH$21=10,$BE3,IF($AH$21=12,$BF3,IF($AH$21=14,$BG3,IF($AH$21=16,$BH3,IF($AH$21=18,$BI3,BJ3))))))</f>
        <v/>
      </c>
      <c r="BB3" s="63"/>
      <c r="BC3" s="63" t="str">
        <f>IF($K$18="x",AH21*2,AH21)</f>
        <v xml:space="preserve"> </v>
      </c>
      <c r="BD3" s="63">
        <v>4</v>
      </c>
      <c r="BE3" s="63">
        <v>10</v>
      </c>
      <c r="BF3" s="63">
        <v>4</v>
      </c>
      <c r="BG3" s="63">
        <v>14</v>
      </c>
      <c r="BH3" s="63">
        <v>4</v>
      </c>
      <c r="BI3" s="63">
        <v>6</v>
      </c>
      <c r="BJ3" s="63" t="str">
        <f>IF(AH$21=20,BK3,IF(AH$21=24,BL3,IF(AH$21=28,BM3,IF(AH$21=30,BN3,IF(AH$21=32,BO3,IF(AH$21=48,BP3,""))))))</f>
        <v/>
      </c>
      <c r="BK3" s="63">
        <v>4</v>
      </c>
      <c r="BL3" s="63">
        <v>4</v>
      </c>
      <c r="BM3" s="63">
        <v>4</v>
      </c>
      <c r="BN3" s="63">
        <v>6</v>
      </c>
      <c r="BO3" s="63">
        <v>4</v>
      </c>
      <c r="BP3" s="63">
        <v>4</v>
      </c>
      <c r="BQ3" s="117" t="str">
        <f t="shared" si="0"/>
        <v/>
      </c>
      <c r="BR3" s="117">
        <v>40</v>
      </c>
      <c r="BS3" s="117">
        <v>50</v>
      </c>
      <c r="BT3" s="117">
        <v>50</v>
      </c>
      <c r="BU3" s="117" t="s">
        <v>98</v>
      </c>
      <c r="BV3" s="117">
        <v>2</v>
      </c>
      <c r="BW3" s="117"/>
      <c r="BX3" s="117">
        <f>BX2+8</f>
        <v>9</v>
      </c>
      <c r="BY3" s="117"/>
      <c r="BZ3" s="117">
        <f>BZ2+8</f>
        <v>9</v>
      </c>
      <c r="CA3" s="117"/>
      <c r="CB3" s="117">
        <f>CB2+8</f>
        <v>10</v>
      </c>
      <c r="CC3" s="117"/>
      <c r="CD3" s="117">
        <f>CD2+8</f>
        <v>10</v>
      </c>
      <c r="CE3" s="117"/>
      <c r="CF3" s="117">
        <f>CF2+8</f>
        <v>11</v>
      </c>
      <c r="CG3" s="117"/>
      <c r="CH3" s="117">
        <f>CH2+8</f>
        <v>11</v>
      </c>
      <c r="CI3" s="117"/>
      <c r="CJ3" s="117">
        <f>CJ2+8</f>
        <v>12</v>
      </c>
      <c r="CK3" s="117"/>
      <c r="CL3" s="117">
        <f>CL2+8</f>
        <v>12</v>
      </c>
      <c r="CM3" s="117"/>
      <c r="CN3" s="117">
        <f>CN2+8</f>
        <v>13</v>
      </c>
      <c r="CO3" s="117"/>
      <c r="CP3" s="117">
        <f>CP2+8</f>
        <v>13</v>
      </c>
      <c r="CQ3" s="117"/>
      <c r="CR3" s="117">
        <f>CR2+8</f>
        <v>14</v>
      </c>
      <c r="CS3" s="117"/>
      <c r="CT3" s="117">
        <f>CT2+8</f>
        <v>14</v>
      </c>
      <c r="CU3" s="117"/>
      <c r="CV3" s="117">
        <f>CV2+8</f>
        <v>15</v>
      </c>
      <c r="CW3" s="117"/>
      <c r="CX3" s="117">
        <f>CX2+8</f>
        <v>15</v>
      </c>
      <c r="CY3" s="117"/>
      <c r="CZ3" s="117">
        <f>CZ2+8</f>
        <v>16</v>
      </c>
      <c r="DA3" s="117"/>
      <c r="DB3" s="117">
        <f>DB2+8</f>
        <v>16</v>
      </c>
    </row>
    <row r="4" spans="1:107" x14ac:dyDescent="0.2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14"/>
      <c r="AM4" s="119" t="s">
        <v>105</v>
      </c>
      <c r="AN4" s="89"/>
      <c r="AO4" s="123"/>
      <c r="AP4" s="124"/>
      <c r="AQ4" s="124"/>
      <c r="AR4" s="122" t="str">
        <f t="shared" si="1"/>
        <v xml:space="preserve"> </v>
      </c>
      <c r="AS4" s="44">
        <v>10</v>
      </c>
      <c r="AT4" s="116">
        <v>6</v>
      </c>
      <c r="AU4" s="116">
        <v>6</v>
      </c>
      <c r="AV4" s="116"/>
      <c r="AW4" s="116"/>
      <c r="AX4" s="117"/>
      <c r="AY4" s="63">
        <f t="shared" si="2"/>
        <v>6</v>
      </c>
      <c r="AZ4" s="118">
        <v>6</v>
      </c>
      <c r="BA4" s="63" t="str">
        <f t="shared" ref="BA4:BA16" si="3">IF($AH$21=8,$BD4,IF($AH$21=10,$BE4,IF($AH$21=12,$BF4,IF($AH$21=14,$BG4,IF($AH$21=16,$BH4,IF($AH$21=18,$BI4,BJ4))))))</f>
        <v/>
      </c>
      <c r="BB4" s="63"/>
      <c r="BC4" s="63"/>
      <c r="BD4" s="63">
        <v>8</v>
      </c>
      <c r="BE4" s="63"/>
      <c r="BF4" s="63">
        <v>6</v>
      </c>
      <c r="BG4" s="63"/>
      <c r="BH4" s="63">
        <v>8</v>
      </c>
      <c r="BI4" s="63">
        <v>18</v>
      </c>
      <c r="BJ4" s="63" t="str">
        <f t="shared" ref="BJ4:BJ5" si="4">IF(AH$21=20,BK4,IF(AH$21=24,BL4,IF(AH$21=28,BM4,IF(AH$21=30,BN4,IF(AH$21=32,BO4,IF(AH$21=48,BP4,""))))))</f>
        <v/>
      </c>
      <c r="BK4" s="63">
        <v>10</v>
      </c>
      <c r="BL4" s="63">
        <v>6</v>
      </c>
      <c r="BM4" s="63">
        <v>14</v>
      </c>
      <c r="BN4" s="63">
        <v>10</v>
      </c>
      <c r="BO4" s="63">
        <v>8</v>
      </c>
      <c r="BP4" s="63">
        <v>6</v>
      </c>
      <c r="BQ4" s="117" t="str">
        <f t="shared" si="0"/>
        <v/>
      </c>
      <c r="BR4" s="117">
        <v>50</v>
      </c>
      <c r="BS4" s="117">
        <v>55</v>
      </c>
      <c r="BT4" s="117">
        <v>55</v>
      </c>
      <c r="BU4" s="117" t="s">
        <v>99</v>
      </c>
      <c r="BV4" s="117">
        <v>3</v>
      </c>
      <c r="BW4" s="117"/>
      <c r="BX4" s="117">
        <f>BX3+8</f>
        <v>17</v>
      </c>
      <c r="BY4" s="117"/>
      <c r="BZ4" s="117">
        <f>BZ3+8</f>
        <v>17</v>
      </c>
      <c r="CA4" s="117"/>
      <c r="CB4" s="117">
        <f>CB3+8</f>
        <v>18</v>
      </c>
      <c r="CC4" s="117"/>
      <c r="CD4" s="117">
        <f>CD3+8</f>
        <v>18</v>
      </c>
      <c r="CE4" s="117"/>
      <c r="CF4" s="117">
        <f>CF3+8</f>
        <v>19</v>
      </c>
      <c r="CG4" s="117"/>
      <c r="CH4" s="117">
        <f>CH3+8</f>
        <v>19</v>
      </c>
      <c r="CI4" s="117"/>
      <c r="CJ4" s="117">
        <f>CJ3+8</f>
        <v>20</v>
      </c>
      <c r="CK4" s="117"/>
      <c r="CL4" s="117">
        <f>CL3+8</f>
        <v>20</v>
      </c>
      <c r="CM4" s="117"/>
      <c r="CN4" s="117">
        <f>CN3+8</f>
        <v>21</v>
      </c>
      <c r="CO4" s="117"/>
      <c r="CP4" s="117">
        <f>CP3+8</f>
        <v>21</v>
      </c>
      <c r="CQ4" s="117"/>
      <c r="CR4" s="117">
        <f>CR3+8</f>
        <v>22</v>
      </c>
      <c r="CS4" s="117"/>
      <c r="CT4" s="117">
        <f>CT3+8</f>
        <v>22</v>
      </c>
      <c r="CU4" s="117"/>
      <c r="CV4" s="117">
        <f>CV3+8</f>
        <v>23</v>
      </c>
      <c r="CW4" s="117"/>
      <c r="CX4" s="117">
        <f>CX3+8</f>
        <v>23</v>
      </c>
      <c r="CY4" s="117"/>
      <c r="CZ4" s="117">
        <f>CZ3+8</f>
        <v>24</v>
      </c>
      <c r="DA4" s="117"/>
      <c r="DB4" s="117">
        <f>DB3+8</f>
        <v>24</v>
      </c>
    </row>
    <row r="5" spans="1:107" x14ac:dyDescent="0.2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14"/>
      <c r="AM5" s="119" t="s">
        <v>106</v>
      </c>
      <c r="AN5" s="125"/>
      <c r="AO5" s="126"/>
      <c r="AP5" s="126"/>
      <c r="AQ5" s="126"/>
      <c r="AR5" s="122" t="str">
        <f t="shared" si="1"/>
        <v xml:space="preserve"> </v>
      </c>
      <c r="AS5" s="42">
        <v>12</v>
      </c>
      <c r="AT5" s="116">
        <v>8</v>
      </c>
      <c r="AU5" s="116">
        <v>8</v>
      </c>
      <c r="AV5" s="116"/>
      <c r="AW5" s="116" t="str">
        <f>IF(G$14="x","",IF(AND(M31="",T31=""),"x",""))</f>
        <v>x</v>
      </c>
      <c r="AX5" s="117" t="str">
        <f>IF(G$14="x","x",IF(AND(M31="",T31=""),"x",""))</f>
        <v>x</v>
      </c>
      <c r="AY5" s="63">
        <f t="shared" si="2"/>
        <v>8</v>
      </c>
      <c r="AZ5" s="118">
        <v>8</v>
      </c>
      <c r="BA5" s="63" t="str">
        <f t="shared" si="3"/>
        <v/>
      </c>
      <c r="BB5" s="63"/>
      <c r="BC5" s="63"/>
      <c r="BD5" s="63" t="s">
        <v>38</v>
      </c>
      <c r="BE5" s="63"/>
      <c r="BF5" s="63">
        <v>12</v>
      </c>
      <c r="BG5" s="63" t="s">
        <v>38</v>
      </c>
      <c r="BH5" s="63">
        <v>16</v>
      </c>
      <c r="BI5" s="63"/>
      <c r="BJ5" s="63" t="str">
        <f t="shared" si="4"/>
        <v/>
      </c>
      <c r="BK5" s="63">
        <v>20</v>
      </c>
      <c r="BL5" s="63">
        <v>8</v>
      </c>
      <c r="BM5" s="63">
        <v>28</v>
      </c>
      <c r="BN5" s="63">
        <v>30</v>
      </c>
      <c r="BO5" s="63">
        <v>16</v>
      </c>
      <c r="BP5" s="63">
        <v>8</v>
      </c>
      <c r="BQ5" s="117" t="str">
        <f t="shared" si="0"/>
        <v/>
      </c>
      <c r="BR5" s="117">
        <v>54</v>
      </c>
      <c r="BS5" s="117">
        <v>62</v>
      </c>
      <c r="BT5" s="117">
        <v>62</v>
      </c>
      <c r="BU5" s="117" t="s">
        <v>109</v>
      </c>
      <c r="BV5" s="117">
        <v>4</v>
      </c>
      <c r="BW5" s="117"/>
      <c r="BX5" s="117">
        <f>BX4+8</f>
        <v>25</v>
      </c>
      <c r="BY5" s="117"/>
      <c r="BZ5" s="117">
        <f>BZ4+8</f>
        <v>25</v>
      </c>
      <c r="CA5" s="117"/>
      <c r="CB5" s="117">
        <f>CB4+8</f>
        <v>26</v>
      </c>
      <c r="CC5" s="117"/>
      <c r="CD5" s="117">
        <f>CD4+8</f>
        <v>26</v>
      </c>
      <c r="CE5" s="117"/>
      <c r="CF5" s="117">
        <f>CF4+8</f>
        <v>27</v>
      </c>
      <c r="CG5" s="117"/>
      <c r="CH5" s="117">
        <f>CH4+8</f>
        <v>27</v>
      </c>
      <c r="CI5" s="117"/>
      <c r="CJ5" s="117">
        <f>CJ4+8</f>
        <v>28</v>
      </c>
      <c r="CK5" s="117"/>
      <c r="CL5" s="117">
        <f>CL4+8</f>
        <v>28</v>
      </c>
      <c r="CM5" s="117"/>
      <c r="CN5" s="117">
        <f>CN4+8</f>
        <v>29</v>
      </c>
      <c r="CO5" s="117"/>
      <c r="CP5" s="117">
        <f>CP4+8</f>
        <v>29</v>
      </c>
      <c r="CQ5" s="117"/>
      <c r="CR5" s="117">
        <f>CR4+8</f>
        <v>30</v>
      </c>
      <c r="CS5" s="117"/>
      <c r="CT5" s="117">
        <f>CT4+8</f>
        <v>30</v>
      </c>
      <c r="CU5" s="117"/>
      <c r="CV5" s="117">
        <f>CV4+8</f>
        <v>31</v>
      </c>
      <c r="CW5" s="117"/>
      <c r="CX5" s="117">
        <f>CX4+8</f>
        <v>31</v>
      </c>
      <c r="CY5" s="117"/>
      <c r="CZ5" s="117">
        <f>CZ4+8</f>
        <v>32</v>
      </c>
      <c r="DA5" s="117"/>
      <c r="DB5" s="117">
        <f>DB4+8</f>
        <v>32</v>
      </c>
    </row>
    <row r="6" spans="1:107" ht="38.25" x14ac:dyDescent="0.2">
      <c r="A6" s="104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14"/>
      <c r="AM6" s="119" t="s">
        <v>107</v>
      </c>
      <c r="AN6" s="89"/>
      <c r="AO6" s="123" t="s">
        <v>83</v>
      </c>
      <c r="AP6" s="123" t="s">
        <v>84</v>
      </c>
      <c r="AQ6" s="124"/>
      <c r="AR6" s="122" t="str">
        <f t="shared" si="1"/>
        <v xml:space="preserve"> </v>
      </c>
      <c r="AS6" s="42">
        <v>14</v>
      </c>
      <c r="AT6" s="116">
        <v>10</v>
      </c>
      <c r="AU6" s="116">
        <v>10</v>
      </c>
      <c r="AV6" s="116"/>
      <c r="AW6" s="116"/>
      <c r="AX6" s="117"/>
      <c r="AY6" s="63">
        <f t="shared" si="2"/>
        <v>10</v>
      </c>
      <c r="AZ6" s="118">
        <v>10</v>
      </c>
      <c r="BA6" s="63" t="str">
        <f t="shared" si="3"/>
        <v/>
      </c>
      <c r="BB6" s="63"/>
      <c r="BC6" s="63"/>
      <c r="BD6" s="63" t="s">
        <v>38</v>
      </c>
      <c r="BE6" s="63" t="s">
        <v>38</v>
      </c>
      <c r="BF6" s="63" t="s">
        <v>38</v>
      </c>
      <c r="BG6" s="63" t="s">
        <v>38</v>
      </c>
      <c r="BH6" s="63"/>
      <c r="BI6" s="63"/>
      <c r="BJ6" s="63" t="str">
        <f>IF(AH$21=24,BL6,IF(AH$21=32,BO6,IF(AH$21=48,BP6,"")))</f>
        <v/>
      </c>
      <c r="BK6" s="63"/>
      <c r="BL6" s="63">
        <v>12</v>
      </c>
      <c r="BM6" s="63"/>
      <c r="BN6" s="63"/>
      <c r="BO6" s="63">
        <v>32</v>
      </c>
      <c r="BP6" s="63">
        <v>12</v>
      </c>
      <c r="BQ6" s="117" t="str">
        <f t="shared" si="0"/>
        <v/>
      </c>
      <c r="BR6" s="117">
        <v>55</v>
      </c>
      <c r="BS6" s="117">
        <v>68</v>
      </c>
      <c r="BT6" s="117">
        <v>68</v>
      </c>
      <c r="BU6" s="117" t="s">
        <v>114</v>
      </c>
      <c r="BV6" s="117">
        <v>5</v>
      </c>
      <c r="BW6" s="117"/>
      <c r="BX6" s="117">
        <f>BX5+8</f>
        <v>33</v>
      </c>
      <c r="BY6" s="117"/>
      <c r="BZ6" s="117">
        <f>BZ5+8</f>
        <v>33</v>
      </c>
      <c r="CA6" s="117"/>
      <c r="CB6" s="117">
        <f>CB5+8</f>
        <v>34</v>
      </c>
      <c r="CC6" s="117"/>
      <c r="CD6" s="117">
        <f>CD5+8</f>
        <v>34</v>
      </c>
      <c r="CE6" s="117"/>
      <c r="CF6" s="117">
        <f>CF5+8</f>
        <v>35</v>
      </c>
      <c r="CG6" s="117"/>
      <c r="CH6" s="117">
        <f>CH5+8</f>
        <v>35</v>
      </c>
      <c r="CI6" s="117"/>
      <c r="CJ6" s="117">
        <f>CJ5+8</f>
        <v>36</v>
      </c>
      <c r="CK6" s="117"/>
      <c r="CL6" s="117">
        <f>CL5+8</f>
        <v>36</v>
      </c>
      <c r="CM6" s="117"/>
      <c r="CN6" s="117">
        <f>CN5+8</f>
        <v>37</v>
      </c>
      <c r="CO6" s="117"/>
      <c r="CP6" s="117">
        <f>CP5+8</f>
        <v>37</v>
      </c>
      <c r="CQ6" s="117"/>
      <c r="CR6" s="117">
        <f>CR5+8</f>
        <v>38</v>
      </c>
      <c r="CS6" s="117"/>
      <c r="CT6" s="117">
        <f>CT5+8</f>
        <v>38</v>
      </c>
      <c r="CU6" s="117"/>
      <c r="CV6" s="117">
        <f>CV5+8</f>
        <v>39</v>
      </c>
      <c r="CW6" s="117"/>
      <c r="CX6" s="117">
        <f>CX5+8</f>
        <v>39</v>
      </c>
      <c r="CY6" s="117"/>
      <c r="CZ6" s="117">
        <f>CZ5+8</f>
        <v>40</v>
      </c>
      <c r="DA6" s="117"/>
      <c r="DB6" s="117">
        <f>DB5+8</f>
        <v>40</v>
      </c>
    </row>
    <row r="7" spans="1:107" x14ac:dyDescent="0.2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14"/>
      <c r="AM7" s="119" t="s">
        <v>108</v>
      </c>
      <c r="AN7" s="127"/>
      <c r="AO7" s="127">
        <v>30</v>
      </c>
      <c r="AP7" s="126">
        <f>IF(G$15="E",AO7/25.4*AN$3,AO7/25*AN$3)</f>
        <v>0</v>
      </c>
      <c r="AQ7" s="126"/>
      <c r="AR7" s="122" t="str">
        <f t="shared" si="1"/>
        <v xml:space="preserve"> </v>
      </c>
      <c r="AS7" s="44">
        <v>16</v>
      </c>
      <c r="AT7" s="116">
        <v>12</v>
      </c>
      <c r="AU7" s="116">
        <v>12</v>
      </c>
      <c r="AV7" s="116"/>
      <c r="AW7" s="116" t="str">
        <f>IF(G$14="x","",IF(AND(M27="",T27=""),"x",""))</f>
        <v/>
      </c>
      <c r="AX7" s="117" t="str">
        <f>IF(G$14="x","x",IF(AND(M39="",T39=""),"x",""))</f>
        <v>x</v>
      </c>
      <c r="AY7" s="63">
        <f t="shared" si="2"/>
        <v>12</v>
      </c>
      <c r="AZ7" s="118">
        <v>12</v>
      </c>
      <c r="BA7" s="63" t="str">
        <f t="shared" si="3"/>
        <v/>
      </c>
      <c r="BB7" s="63"/>
      <c r="BC7" s="63"/>
      <c r="BD7" s="63" t="s">
        <v>38</v>
      </c>
      <c r="BE7" s="63" t="s">
        <v>38</v>
      </c>
      <c r="BF7" s="63" t="s">
        <v>38</v>
      </c>
      <c r="BG7" s="63" t="s">
        <v>38</v>
      </c>
      <c r="BH7" s="63"/>
      <c r="BI7" s="63"/>
      <c r="BJ7" s="63" t="str">
        <f>IF(AH$21=24,BL7,IF(AH$21=48,BP7,""))</f>
        <v/>
      </c>
      <c r="BK7" s="63"/>
      <c r="BL7" s="63">
        <v>24</v>
      </c>
      <c r="BM7" s="63"/>
      <c r="BN7" s="63"/>
      <c r="BO7" s="63"/>
      <c r="BP7" s="63">
        <v>16</v>
      </c>
      <c r="BQ7" s="117" t="str">
        <f t="shared" si="0"/>
        <v/>
      </c>
      <c r="BR7" s="117">
        <v>60</v>
      </c>
      <c r="BS7" s="117">
        <v>82</v>
      </c>
      <c r="BT7" s="117">
        <v>82</v>
      </c>
      <c r="BU7" s="117" t="s">
        <v>122</v>
      </c>
      <c r="BV7" s="117">
        <v>6</v>
      </c>
      <c r="BW7" s="117"/>
      <c r="BX7" s="117">
        <f>BX6+8</f>
        <v>41</v>
      </c>
      <c r="BY7" s="117"/>
      <c r="BZ7" s="117">
        <f>BZ6+8</f>
        <v>41</v>
      </c>
      <c r="CA7" s="117"/>
      <c r="CB7" s="117">
        <f>CB6+8</f>
        <v>42</v>
      </c>
      <c r="CC7" s="117"/>
      <c r="CD7" s="117">
        <f>CD6+8</f>
        <v>42</v>
      </c>
      <c r="CE7" s="117"/>
      <c r="CF7" s="117">
        <f>CF6+8</f>
        <v>43</v>
      </c>
      <c r="CG7" s="117"/>
      <c r="CH7" s="117">
        <f>CH6+8</f>
        <v>43</v>
      </c>
      <c r="CI7" s="117"/>
      <c r="CJ7" s="117">
        <f>CJ6+8</f>
        <v>44</v>
      </c>
      <c r="CK7" s="117"/>
      <c r="CL7" s="117">
        <f>CL6+8</f>
        <v>44</v>
      </c>
      <c r="CM7" s="117"/>
      <c r="CN7" s="117">
        <f>CN6+8</f>
        <v>45</v>
      </c>
      <c r="CO7" s="117"/>
      <c r="CP7" s="117">
        <f>CP6+8</f>
        <v>45</v>
      </c>
      <c r="CQ7" s="117"/>
      <c r="CR7" s="117">
        <f>CR6+8</f>
        <v>46</v>
      </c>
      <c r="CS7" s="117"/>
      <c r="CT7" s="117">
        <f>CT6+8</f>
        <v>46</v>
      </c>
      <c r="CU7" s="117"/>
      <c r="CV7" s="117">
        <f>CV6+8</f>
        <v>47</v>
      </c>
      <c r="CW7" s="117"/>
      <c r="CX7" s="117">
        <f>CX6+8</f>
        <v>47</v>
      </c>
      <c r="CY7" s="117"/>
      <c r="CZ7" s="117">
        <f>CZ6+8</f>
        <v>48</v>
      </c>
      <c r="DA7" s="117"/>
      <c r="DB7" s="117">
        <f>DB6+8</f>
        <v>48</v>
      </c>
    </row>
    <row r="8" spans="1:107" ht="10.5" customHeight="1" x14ac:dyDescent="0.2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14"/>
      <c r="AM8" s="189" t="s">
        <v>150</v>
      </c>
      <c r="AN8" s="127"/>
      <c r="AO8" s="127">
        <v>50</v>
      </c>
      <c r="AP8" s="126">
        <f>IF(G$15="E",AO8/25.4*AN$3,AO8/25*AN$3)</f>
        <v>0</v>
      </c>
      <c r="AQ8" s="89"/>
      <c r="AR8" s="122" t="str">
        <f t="shared" si="1"/>
        <v xml:space="preserve"> </v>
      </c>
      <c r="AS8" s="43">
        <v>18</v>
      </c>
      <c r="AT8" s="116">
        <v>14</v>
      </c>
      <c r="AU8" s="116">
        <v>14</v>
      </c>
      <c r="AV8" s="116"/>
      <c r="AW8" s="116"/>
      <c r="AX8" s="117"/>
      <c r="AY8" s="63">
        <f t="shared" si="2"/>
        <v>14</v>
      </c>
      <c r="AZ8" s="118">
        <v>14</v>
      </c>
      <c r="BA8" s="63" t="str">
        <f t="shared" si="3"/>
        <v/>
      </c>
      <c r="BB8" s="63"/>
      <c r="BC8" s="63"/>
      <c r="BD8" s="63" t="s">
        <v>38</v>
      </c>
      <c r="BE8" s="63"/>
      <c r="BF8" s="63"/>
      <c r="BG8" s="63" t="s">
        <v>38</v>
      </c>
      <c r="BH8" s="63"/>
      <c r="BI8" s="63"/>
      <c r="BJ8" s="63" t="str">
        <f>IF(AH$21=48,BP8,"")</f>
        <v/>
      </c>
      <c r="BK8" s="63" t="s">
        <v>38</v>
      </c>
      <c r="BL8" s="63"/>
      <c r="BM8" s="63" t="s">
        <v>38</v>
      </c>
      <c r="BN8" s="63"/>
      <c r="BO8" s="63"/>
      <c r="BP8" s="63">
        <v>24</v>
      </c>
      <c r="BQ8" s="117" t="str">
        <f t="shared" si="0"/>
        <v/>
      </c>
      <c r="BR8" s="117">
        <v>64</v>
      </c>
      <c r="BS8" s="117">
        <v>92</v>
      </c>
      <c r="BT8" s="117">
        <v>92</v>
      </c>
      <c r="BU8" s="117"/>
      <c r="BV8" s="117">
        <v>7</v>
      </c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</row>
    <row r="9" spans="1:107" ht="39" customHeight="1" thickBot="1" x14ac:dyDescent="0.3">
      <c r="B9" s="265" t="s">
        <v>2</v>
      </c>
      <c r="C9" s="265"/>
      <c r="D9" s="265"/>
      <c r="E9" s="265"/>
      <c r="F9" s="265"/>
      <c r="G9" s="265"/>
      <c r="H9" s="266"/>
      <c r="I9" s="266"/>
      <c r="J9" s="267"/>
      <c r="K9" s="267"/>
      <c r="L9" s="267"/>
      <c r="M9" s="267"/>
      <c r="N9" s="267"/>
      <c r="O9" s="267"/>
      <c r="P9" s="267"/>
      <c r="Q9" s="267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128"/>
      <c r="AM9" s="120" t="s">
        <v>61</v>
      </c>
      <c r="AN9" s="127"/>
      <c r="AO9" s="89">
        <v>50</v>
      </c>
      <c r="AP9" s="126">
        <f>IF(G$15="E",AO9/25.4*AN$3,AO9/25*AN$3)</f>
        <v>0</v>
      </c>
      <c r="AQ9" s="124"/>
      <c r="AR9" s="122" t="b">
        <f>IF(L$21="x",AS9,IF(P$21="x",AT9,IF(T$21="x",AU9)))</f>
        <v>0</v>
      </c>
      <c r="AS9" s="45">
        <v>20</v>
      </c>
      <c r="AT9" s="116">
        <v>16</v>
      </c>
      <c r="AU9" s="116">
        <v>16</v>
      </c>
      <c r="AV9" s="116"/>
      <c r="AW9" s="116" t="str">
        <f>IF(G$14="x","",IF(AND(M29="",T29=""),"x",""))</f>
        <v/>
      </c>
      <c r="AX9" s="117" t="str">
        <f>IF(G$14="x","x",IF(AND(M47="",T47=""),"x",""))</f>
        <v>x</v>
      </c>
      <c r="AY9" s="63">
        <f t="shared" si="2"/>
        <v>16</v>
      </c>
      <c r="AZ9" s="118">
        <v>16</v>
      </c>
      <c r="BA9" s="63" t="str">
        <f t="shared" si="3"/>
        <v/>
      </c>
      <c r="BB9" s="63"/>
      <c r="BC9" s="63"/>
      <c r="BD9" s="63" t="s">
        <v>38</v>
      </c>
      <c r="BE9" s="63"/>
      <c r="BF9" s="63"/>
      <c r="BG9" s="63"/>
      <c r="BH9" s="63"/>
      <c r="BI9" s="63"/>
      <c r="BJ9" s="63" t="str">
        <f>IF(AH$21=48,BP9,"")</f>
        <v/>
      </c>
      <c r="BK9" s="63" t="s">
        <v>38</v>
      </c>
      <c r="BL9" s="63"/>
      <c r="BM9" s="63" t="s">
        <v>38</v>
      </c>
      <c r="BN9" s="63"/>
      <c r="BO9" s="63"/>
      <c r="BP9" s="63">
        <v>48</v>
      </c>
      <c r="BQ9" s="117" t="str">
        <f t="shared" si="0"/>
        <v/>
      </c>
      <c r="BR9" s="117">
        <v>65</v>
      </c>
      <c r="BS9" s="117">
        <v>98</v>
      </c>
      <c r="BT9" s="117">
        <v>98</v>
      </c>
      <c r="BU9" s="117"/>
      <c r="BV9" s="117">
        <v>8</v>
      </c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8">
        <f>IF($K$18="x",$AJ$31*2,$AJ$31)</f>
        <v>0</v>
      </c>
    </row>
    <row r="10" spans="1:107" ht="24" customHeight="1" thickBot="1" x14ac:dyDescent="0.25">
      <c r="B10" s="212" t="s">
        <v>129</v>
      </c>
      <c r="C10" s="239"/>
      <c r="D10" s="239"/>
      <c r="E10" s="239"/>
      <c r="F10" s="239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39" t="s">
        <v>28</v>
      </c>
      <c r="S10" s="203"/>
      <c r="T10" s="203"/>
      <c r="U10" s="203"/>
      <c r="V10" s="273"/>
      <c r="W10" s="273"/>
      <c r="X10" s="273"/>
      <c r="Y10" s="273"/>
      <c r="Z10" s="273"/>
      <c r="AA10" s="273"/>
      <c r="AB10" s="273"/>
      <c r="AC10" s="273"/>
      <c r="AD10" s="249" t="s">
        <v>130</v>
      </c>
      <c r="AE10" s="249"/>
      <c r="AF10" s="249"/>
      <c r="AG10" s="271"/>
      <c r="AH10" s="271"/>
      <c r="AI10" s="271"/>
      <c r="AJ10" s="271"/>
      <c r="AK10" s="272"/>
      <c r="AL10" s="129"/>
      <c r="AM10" s="89" t="s">
        <v>62</v>
      </c>
      <c r="AN10" s="120"/>
      <c r="AO10" s="60">
        <f>IF(L21="x",AP7,IF(P21="x",AP8,AP9))</f>
        <v>0</v>
      </c>
      <c r="AP10" s="122"/>
      <c r="AQ10" s="122"/>
      <c r="AR10" s="122" t="b">
        <f>IF(L$21="x",AS10,IF(P$21="x",AT10,IF(T$21="x",AU10)))</f>
        <v>0</v>
      </c>
      <c r="AS10" s="45">
        <v>24</v>
      </c>
      <c r="AT10" s="130" t="s">
        <v>38</v>
      </c>
      <c r="AU10" s="130" t="s">
        <v>38</v>
      </c>
      <c r="AV10" s="130"/>
      <c r="AW10" s="116"/>
      <c r="AX10" s="117"/>
      <c r="AY10" s="63">
        <f t="shared" si="2"/>
        <v>18</v>
      </c>
      <c r="AZ10" s="118">
        <v>18</v>
      </c>
      <c r="BA10" s="63">
        <f t="shared" si="3"/>
        <v>0</v>
      </c>
      <c r="BB10" s="63"/>
      <c r="BC10" s="63"/>
      <c r="BD10" s="63" t="s">
        <v>38</v>
      </c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117" t="str">
        <f t="shared" si="0"/>
        <v/>
      </c>
      <c r="BR10" s="117">
        <v>74</v>
      </c>
      <c r="BS10" s="117">
        <v>102</v>
      </c>
      <c r="BT10" s="117">
        <v>102</v>
      </c>
      <c r="BU10" s="117"/>
      <c r="BV10" s="117">
        <v>9</v>
      </c>
      <c r="BW10" s="117"/>
      <c r="BX10" s="117">
        <v>1</v>
      </c>
      <c r="BY10" s="117"/>
      <c r="BZ10" s="117">
        <v>1</v>
      </c>
      <c r="CA10" s="117"/>
      <c r="CB10" s="117">
        <v>2</v>
      </c>
      <c r="CC10" s="117"/>
      <c r="CD10" s="117">
        <v>2</v>
      </c>
      <c r="CE10" s="117"/>
      <c r="CF10" s="117">
        <v>3</v>
      </c>
      <c r="CG10" s="117"/>
      <c r="CH10" s="117">
        <v>3</v>
      </c>
      <c r="CI10" s="117"/>
      <c r="CJ10" s="117">
        <v>4</v>
      </c>
      <c r="CK10" s="117"/>
      <c r="CL10" s="117">
        <v>4</v>
      </c>
      <c r="CM10" s="117"/>
      <c r="CN10" s="117">
        <v>5</v>
      </c>
      <c r="CO10" s="117"/>
      <c r="CP10" s="117">
        <v>5</v>
      </c>
      <c r="CQ10" s="117"/>
      <c r="CR10" s="117">
        <v>6</v>
      </c>
      <c r="CS10" s="117"/>
      <c r="CT10" s="117">
        <v>6</v>
      </c>
      <c r="CU10" s="117"/>
      <c r="CV10" s="117">
        <v>7</v>
      </c>
      <c r="CW10" s="117"/>
      <c r="CX10" s="117">
        <v>7</v>
      </c>
      <c r="CY10" s="117"/>
      <c r="CZ10" s="117">
        <v>8</v>
      </c>
      <c r="DA10" s="117"/>
      <c r="DB10" s="117">
        <v>8</v>
      </c>
    </row>
    <row r="11" spans="1:107" s="2" customFormat="1" ht="9" customHeight="1" thickBot="1" x14ac:dyDescent="0.25">
      <c r="B11" s="160"/>
      <c r="C11" s="161"/>
      <c r="D11" s="161"/>
      <c r="E11" s="161"/>
      <c r="F11" s="161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1"/>
      <c r="S11" s="163"/>
      <c r="T11" s="163"/>
      <c r="U11" s="163"/>
      <c r="V11" s="161"/>
      <c r="W11" s="161"/>
      <c r="X11" s="161"/>
      <c r="Y11" s="161"/>
      <c r="Z11" s="161"/>
      <c r="AA11" s="161"/>
      <c r="AB11" s="161"/>
      <c r="AC11" s="161"/>
      <c r="AD11" s="164"/>
      <c r="AE11" s="164"/>
      <c r="AF11" s="164"/>
      <c r="AG11" s="164"/>
      <c r="AH11" s="164"/>
      <c r="AI11" s="164"/>
      <c r="AJ11" s="164"/>
      <c r="AK11" s="165"/>
      <c r="AL11" s="102"/>
      <c r="AM11" s="125" t="s">
        <v>63</v>
      </c>
      <c r="AN11" s="92"/>
      <c r="AO11" s="131"/>
      <c r="AP11" s="132"/>
      <c r="AQ11" s="132"/>
      <c r="AR11" s="122" t="b">
        <f>IF(L$21="x",AS11,IF(P$21="x",AT11,IF(T$21="x",AU11)))</f>
        <v>0</v>
      </c>
      <c r="AS11" s="116">
        <v>28</v>
      </c>
      <c r="AT11" s="133" t="s">
        <v>38</v>
      </c>
      <c r="AU11" s="133" t="s">
        <v>38</v>
      </c>
      <c r="AV11" s="133"/>
      <c r="AW11" s="134"/>
      <c r="AX11" s="61"/>
      <c r="AY11" s="63">
        <f t="shared" si="2"/>
        <v>20</v>
      </c>
      <c r="AZ11" s="135">
        <v>20</v>
      </c>
      <c r="BA11" s="63">
        <f t="shared" si="3"/>
        <v>0</v>
      </c>
      <c r="BB11" s="88"/>
      <c r="BC11" s="63" t="str">
        <f>BA4</f>
        <v/>
      </c>
      <c r="BD11" s="88" t="s">
        <v>38</v>
      </c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117" t="str">
        <f t="shared" si="0"/>
        <v/>
      </c>
      <c r="BR11" s="117">
        <v>80</v>
      </c>
      <c r="BS11" s="117">
        <v>107</v>
      </c>
      <c r="BT11" s="117">
        <v>107</v>
      </c>
      <c r="BU11" s="61"/>
      <c r="BV11" s="61">
        <v>10</v>
      </c>
      <c r="BW11" s="61"/>
      <c r="BX11" s="117">
        <f>BX10+8</f>
        <v>9</v>
      </c>
      <c r="BY11" s="117"/>
      <c r="BZ11" s="117">
        <f>BZ10+8</f>
        <v>9</v>
      </c>
      <c r="CA11" s="117"/>
      <c r="CB11" s="117">
        <f>CB10+8</f>
        <v>10</v>
      </c>
      <c r="CC11" s="117"/>
      <c r="CD11" s="117">
        <f>CD10+8</f>
        <v>10</v>
      </c>
      <c r="CE11" s="117"/>
      <c r="CF11" s="117">
        <f>CF10+8</f>
        <v>11</v>
      </c>
      <c r="CG11" s="117"/>
      <c r="CH11" s="117">
        <f>CH10+8</f>
        <v>11</v>
      </c>
      <c r="CI11" s="117"/>
      <c r="CJ11" s="117">
        <f>CJ10+8</f>
        <v>12</v>
      </c>
      <c r="CK11" s="117"/>
      <c r="CL11" s="117">
        <f>CL10+8</f>
        <v>12</v>
      </c>
      <c r="CM11" s="117"/>
      <c r="CN11" s="117">
        <f>CN10+8</f>
        <v>13</v>
      </c>
      <c r="CO11" s="117"/>
      <c r="CP11" s="117">
        <f>CP10+8</f>
        <v>13</v>
      </c>
      <c r="CQ11" s="117"/>
      <c r="CR11" s="117">
        <f>CR10+8</f>
        <v>14</v>
      </c>
      <c r="CS11" s="117"/>
      <c r="CT11" s="117">
        <f>CT10+8</f>
        <v>14</v>
      </c>
      <c r="CU11" s="117"/>
      <c r="CV11" s="117">
        <f>CV10+8</f>
        <v>15</v>
      </c>
      <c r="CW11" s="117"/>
      <c r="CX11" s="117">
        <f>CX10+8</f>
        <v>15</v>
      </c>
      <c r="CY11" s="117"/>
      <c r="CZ11" s="117">
        <f>CZ10+8</f>
        <v>16</v>
      </c>
      <c r="DA11" s="117"/>
      <c r="DB11" s="117">
        <f>DB10+8</f>
        <v>16</v>
      </c>
    </row>
    <row r="12" spans="1:107" ht="24" customHeight="1" thickBot="1" x14ac:dyDescent="0.25">
      <c r="B12" s="243" t="s">
        <v>131</v>
      </c>
      <c r="C12" s="244"/>
      <c r="D12" s="244"/>
      <c r="E12" s="244"/>
      <c r="F12" s="244"/>
      <c r="G12" s="245"/>
      <c r="H12" s="246"/>
      <c r="I12" s="202" t="s">
        <v>132</v>
      </c>
      <c r="J12" s="239"/>
      <c r="K12" s="239"/>
      <c r="L12" s="239"/>
      <c r="M12" s="239"/>
      <c r="N12" s="239"/>
      <c r="O12" s="197"/>
      <c r="P12" s="197"/>
      <c r="Q12" s="197"/>
      <c r="R12" s="197"/>
      <c r="S12" s="197"/>
      <c r="T12" s="197"/>
      <c r="U12" s="197"/>
      <c r="V12" s="197"/>
      <c r="W12" s="217" t="s">
        <v>119</v>
      </c>
      <c r="X12" s="217"/>
      <c r="Y12" s="217"/>
      <c r="Z12" s="217"/>
      <c r="AA12" s="217"/>
      <c r="AB12" s="217"/>
      <c r="AC12" s="217"/>
      <c r="AD12" s="202"/>
      <c r="AE12" s="197"/>
      <c r="AF12" s="197"/>
      <c r="AG12" s="197"/>
      <c r="AH12" s="197"/>
      <c r="AI12" s="197"/>
      <c r="AJ12" s="197"/>
      <c r="AK12" s="198"/>
      <c r="AL12" s="136"/>
      <c r="AM12" s="89" t="s">
        <v>64</v>
      </c>
      <c r="AN12" s="92"/>
      <c r="AO12" s="131"/>
      <c r="AP12" s="132"/>
      <c r="AQ12" s="132"/>
      <c r="AR12" s="122" t="b">
        <f t="shared" ref="AR12:AR13" si="5">IF(L$21="x",AS12,IF(P$21="x",AT12,IF(T$21="x",AU12)))</f>
        <v>0</v>
      </c>
      <c r="AS12" s="13">
        <v>30</v>
      </c>
      <c r="AT12" s="137" t="s">
        <v>38</v>
      </c>
      <c r="AU12" s="137" t="s">
        <v>38</v>
      </c>
      <c r="AV12" s="137"/>
      <c r="AW12" s="138" t="s">
        <v>38</v>
      </c>
      <c r="AX12" s="138"/>
      <c r="AY12" s="63">
        <f t="shared" si="2"/>
        <v>22</v>
      </c>
      <c r="AZ12" s="42">
        <v>22</v>
      </c>
      <c r="BA12" s="63">
        <f>IF($AH$21=8,$BD12,IF($AH$21=10,$BE12,IF($AH$21=12,$BF12,IF($AH$21=14,$BG12,IF($AH$21=16,$BH12,IF($AH$21=18,$BI12,BJ12))))))</f>
        <v>0</v>
      </c>
      <c r="BB12" s="42"/>
      <c r="BC12" s="42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117" t="str">
        <f t="shared" si="0"/>
        <v/>
      </c>
      <c r="BR12" s="117">
        <v>96</v>
      </c>
      <c r="BS12" s="117">
        <v>115</v>
      </c>
      <c r="BT12" s="117">
        <v>115</v>
      </c>
      <c r="BU12" s="117"/>
      <c r="BV12" s="61">
        <v>11</v>
      </c>
      <c r="BW12" s="117"/>
      <c r="BX12" s="117">
        <f>BX11+8</f>
        <v>17</v>
      </c>
      <c r="BY12" s="117"/>
      <c r="BZ12" s="117">
        <f>BZ11+8</f>
        <v>17</v>
      </c>
      <c r="CA12" s="117"/>
      <c r="CB12" s="117">
        <f>CB11+8</f>
        <v>18</v>
      </c>
      <c r="CC12" s="117"/>
      <c r="CD12" s="117">
        <f>CD11+8</f>
        <v>18</v>
      </c>
      <c r="CE12" s="117"/>
      <c r="CF12" s="117">
        <f>CF11+8</f>
        <v>19</v>
      </c>
      <c r="CG12" s="117"/>
      <c r="CH12" s="117">
        <f>CH11+8</f>
        <v>19</v>
      </c>
      <c r="CI12" s="117"/>
      <c r="CJ12" s="117">
        <f>CJ11+8</f>
        <v>20</v>
      </c>
      <c r="CK12" s="117"/>
      <c r="CL12" s="117">
        <f>CL11+8</f>
        <v>20</v>
      </c>
      <c r="CM12" s="117"/>
      <c r="CN12" s="117">
        <f>CN11+8</f>
        <v>21</v>
      </c>
      <c r="CO12" s="117"/>
      <c r="CP12" s="117">
        <f>CP11+8</f>
        <v>21</v>
      </c>
      <c r="CQ12" s="117"/>
      <c r="CR12" s="117">
        <f>CR11+8</f>
        <v>22</v>
      </c>
      <c r="CS12" s="117"/>
      <c r="CT12" s="117">
        <f>CT11+8</f>
        <v>22</v>
      </c>
      <c r="CU12" s="117"/>
      <c r="CV12" s="117">
        <f>CV11+8</f>
        <v>23</v>
      </c>
      <c r="CW12" s="117"/>
      <c r="CX12" s="117">
        <f>CX11+8</f>
        <v>23</v>
      </c>
      <c r="CY12" s="117"/>
      <c r="CZ12" s="117">
        <f>CZ11+8</f>
        <v>24</v>
      </c>
      <c r="DA12" s="117"/>
      <c r="DB12" s="117">
        <f>DB11+8</f>
        <v>24</v>
      </c>
    </row>
    <row r="13" spans="1:107" s="2" customFormat="1" ht="9" customHeight="1" thickBot="1" x14ac:dyDescent="0.25">
      <c r="B13" s="160"/>
      <c r="C13" s="161"/>
      <c r="D13" s="161"/>
      <c r="E13" s="161"/>
      <c r="F13" s="161"/>
      <c r="G13" s="162"/>
      <c r="H13" s="166"/>
      <c r="I13" s="162"/>
      <c r="J13" s="162"/>
      <c r="K13" s="162"/>
      <c r="L13" s="162"/>
      <c r="M13" s="162"/>
      <c r="N13" s="162"/>
      <c r="O13" s="162"/>
      <c r="P13" s="162"/>
      <c r="Q13" s="162"/>
      <c r="R13" s="161"/>
      <c r="S13" s="163"/>
      <c r="T13" s="163"/>
      <c r="U13" s="163"/>
      <c r="V13" s="161"/>
      <c r="W13" s="161"/>
      <c r="X13" s="161"/>
      <c r="Y13" s="161"/>
      <c r="Z13" s="161"/>
      <c r="AA13" s="161"/>
      <c r="AB13" s="161"/>
      <c r="AC13" s="161"/>
      <c r="AD13" s="164"/>
      <c r="AE13" s="164"/>
      <c r="AF13" s="164"/>
      <c r="AG13" s="164"/>
      <c r="AH13" s="164"/>
      <c r="AI13" s="164"/>
      <c r="AJ13" s="164"/>
      <c r="AK13" s="165"/>
      <c r="AL13" s="102"/>
      <c r="AM13" s="127" t="s">
        <v>85</v>
      </c>
      <c r="AN13" s="92"/>
      <c r="AO13" s="131" t="s">
        <v>81</v>
      </c>
      <c r="AP13" s="132"/>
      <c r="AQ13" s="132"/>
      <c r="AR13" s="122" t="b">
        <f t="shared" si="5"/>
        <v>0</v>
      </c>
      <c r="AS13" s="116">
        <v>32</v>
      </c>
      <c r="AT13" s="133" t="s">
        <v>38</v>
      </c>
      <c r="AU13" s="133" t="s">
        <v>38</v>
      </c>
      <c r="AV13" s="133"/>
      <c r="AW13" s="134"/>
      <c r="AX13" s="61"/>
      <c r="AY13" s="63">
        <f t="shared" ref="AY13:AY25" si="6">IF(F$20="x",BA13,AZ13)</f>
        <v>24</v>
      </c>
      <c r="AZ13" s="135">
        <v>24</v>
      </c>
      <c r="BA13" s="63">
        <f t="shared" si="3"/>
        <v>0</v>
      </c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117" t="str">
        <f t="shared" si="0"/>
        <v/>
      </c>
      <c r="BR13" s="117">
        <v>110</v>
      </c>
      <c r="BS13" s="117">
        <v>122</v>
      </c>
      <c r="BT13" s="117">
        <v>122</v>
      </c>
      <c r="BU13" s="61"/>
      <c r="BV13" s="61">
        <v>12</v>
      </c>
      <c r="BW13" s="61"/>
      <c r="BX13" s="117">
        <f>BX12+8</f>
        <v>25</v>
      </c>
      <c r="BY13" s="117"/>
      <c r="BZ13" s="117">
        <f>BZ12+8</f>
        <v>25</v>
      </c>
      <c r="CA13" s="117"/>
      <c r="CB13" s="117">
        <f>CB12+8</f>
        <v>26</v>
      </c>
      <c r="CC13" s="117"/>
      <c r="CD13" s="117">
        <f>CD12+8</f>
        <v>26</v>
      </c>
      <c r="CE13" s="117"/>
      <c r="CF13" s="117">
        <f>CF12+8</f>
        <v>27</v>
      </c>
      <c r="CG13" s="117"/>
      <c r="CH13" s="117">
        <f>CH12+8</f>
        <v>27</v>
      </c>
      <c r="CI13" s="117"/>
      <c r="CJ13" s="117">
        <f>CJ12+8</f>
        <v>28</v>
      </c>
      <c r="CK13" s="117"/>
      <c r="CL13" s="117">
        <f>CL12+8</f>
        <v>28</v>
      </c>
      <c r="CM13" s="117"/>
      <c r="CN13" s="117">
        <f>CN12+8</f>
        <v>29</v>
      </c>
      <c r="CO13" s="117"/>
      <c r="CP13" s="117">
        <f>CP12+8</f>
        <v>29</v>
      </c>
      <c r="CQ13" s="117"/>
      <c r="CR13" s="117">
        <f>CR12+8</f>
        <v>30</v>
      </c>
      <c r="CS13" s="117"/>
      <c r="CT13" s="117">
        <f>CT12+8</f>
        <v>30</v>
      </c>
      <c r="CU13" s="117"/>
      <c r="CV13" s="117">
        <f>CV12+8</f>
        <v>31</v>
      </c>
      <c r="CW13" s="117"/>
      <c r="CX13" s="117">
        <f>CX12+8</f>
        <v>31</v>
      </c>
      <c r="CY13" s="117"/>
      <c r="CZ13" s="117">
        <f>CZ12+8</f>
        <v>32</v>
      </c>
      <c r="DA13" s="117"/>
      <c r="DB13" s="117">
        <f>DB12+8</f>
        <v>32</v>
      </c>
    </row>
    <row r="14" spans="1:107" ht="24" customHeight="1" thickBot="1" x14ac:dyDescent="0.25">
      <c r="B14" s="263" t="s">
        <v>133</v>
      </c>
      <c r="C14" s="264"/>
      <c r="D14" s="264"/>
      <c r="E14" s="264"/>
      <c r="F14" s="264"/>
      <c r="G14" s="274"/>
      <c r="H14" s="275"/>
      <c r="I14" s="212" t="s">
        <v>132</v>
      </c>
      <c r="J14" s="239"/>
      <c r="K14" s="239"/>
      <c r="L14" s="239"/>
      <c r="M14" s="239"/>
      <c r="N14" s="239"/>
      <c r="O14" s="197"/>
      <c r="P14" s="197"/>
      <c r="Q14" s="197"/>
      <c r="R14" s="197"/>
      <c r="S14" s="197"/>
      <c r="T14" s="197"/>
      <c r="U14" s="197"/>
      <c r="V14" s="197"/>
      <c r="W14" s="244" t="s">
        <v>134</v>
      </c>
      <c r="X14" s="244"/>
      <c r="Y14" s="244"/>
      <c r="Z14" s="244"/>
      <c r="AA14" s="244"/>
      <c r="AB14" s="244"/>
      <c r="AC14" s="244"/>
      <c r="AD14" s="254"/>
      <c r="AE14" s="269"/>
      <c r="AF14" s="269"/>
      <c r="AG14" s="269"/>
      <c r="AH14" s="269"/>
      <c r="AI14" s="269"/>
      <c r="AJ14" s="269"/>
      <c r="AK14" s="270"/>
      <c r="AL14" s="129"/>
      <c r="AM14" s="127" t="s">
        <v>86</v>
      </c>
      <c r="AN14" s="92"/>
      <c r="AO14" s="115" t="s">
        <v>10</v>
      </c>
      <c r="AP14" s="116"/>
      <c r="AQ14" s="116"/>
      <c r="AR14" s="122" t="b">
        <f>IF(L$21="x",AS14,IF(P$21="x",AT14,IF(T$21="x",AU14)))</f>
        <v>0</v>
      </c>
      <c r="AS14" s="116">
        <v>48</v>
      </c>
      <c r="AT14" s="31" t="s">
        <v>38</v>
      </c>
      <c r="AU14" s="31" t="s">
        <v>38</v>
      </c>
      <c r="AV14" s="42"/>
      <c r="AW14" s="115"/>
      <c r="AX14" s="116"/>
      <c r="AY14" s="63">
        <f t="shared" si="6"/>
        <v>26</v>
      </c>
      <c r="AZ14" s="118">
        <v>26</v>
      </c>
      <c r="BA14" s="63">
        <f t="shared" si="3"/>
        <v>0</v>
      </c>
      <c r="BB14" s="118"/>
      <c r="BC14" s="118"/>
      <c r="BD14" s="118"/>
      <c r="BE14" s="118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117" t="str">
        <f t="shared" si="0"/>
        <v/>
      </c>
      <c r="BR14" s="117">
        <v>127</v>
      </c>
      <c r="BS14" s="117">
        <v>132</v>
      </c>
      <c r="BT14" s="117">
        <v>132</v>
      </c>
      <c r="BU14" s="117"/>
      <c r="BV14" s="61">
        <v>13</v>
      </c>
      <c r="BW14" s="117"/>
      <c r="BX14" s="117">
        <f>BX13+8</f>
        <v>33</v>
      </c>
      <c r="BY14" s="117"/>
      <c r="BZ14" s="117">
        <f>BZ13+8</f>
        <v>33</v>
      </c>
      <c r="CA14" s="117"/>
      <c r="CB14" s="117">
        <f>CB13+8</f>
        <v>34</v>
      </c>
      <c r="CC14" s="117"/>
      <c r="CD14" s="117">
        <f>CD13+8</f>
        <v>34</v>
      </c>
      <c r="CE14" s="117"/>
      <c r="CF14" s="117">
        <f>CF13+8</f>
        <v>35</v>
      </c>
      <c r="CG14" s="117"/>
      <c r="CH14" s="117">
        <f>CH13+8</f>
        <v>35</v>
      </c>
      <c r="CI14" s="117"/>
      <c r="CJ14" s="117">
        <f>CJ13+8</f>
        <v>36</v>
      </c>
      <c r="CK14" s="117"/>
      <c r="CL14" s="117">
        <f>CL13+8</f>
        <v>36</v>
      </c>
      <c r="CM14" s="117"/>
      <c r="CN14" s="117">
        <f>CN13+8</f>
        <v>37</v>
      </c>
      <c r="CO14" s="117"/>
      <c r="CP14" s="117">
        <f>CP13+8</f>
        <v>37</v>
      </c>
      <c r="CQ14" s="117"/>
      <c r="CR14" s="117">
        <f>CR13+8</f>
        <v>38</v>
      </c>
      <c r="CS14" s="117"/>
      <c r="CT14" s="117">
        <f>CT13+8</f>
        <v>38</v>
      </c>
      <c r="CU14" s="117"/>
      <c r="CV14" s="117">
        <f>CV13+8</f>
        <v>39</v>
      </c>
      <c r="CW14" s="117"/>
      <c r="CX14" s="117">
        <f>CX13+8</f>
        <v>39</v>
      </c>
      <c r="CY14" s="117"/>
      <c r="CZ14" s="117">
        <f>CZ13+8</f>
        <v>40</v>
      </c>
      <c r="DA14" s="117"/>
      <c r="DB14" s="117">
        <f>DB13+8</f>
        <v>40</v>
      </c>
    </row>
    <row r="15" spans="1:107" ht="24" customHeight="1" thickBot="1" x14ac:dyDescent="0.25">
      <c r="A15" s="101"/>
      <c r="B15" s="258" t="s">
        <v>135</v>
      </c>
      <c r="C15" s="259"/>
      <c r="D15" s="259"/>
      <c r="E15" s="259"/>
      <c r="F15" s="259"/>
      <c r="G15" s="247"/>
      <c r="H15" s="260"/>
      <c r="I15" s="261"/>
      <c r="J15" s="261"/>
      <c r="K15" s="262"/>
      <c r="L15" s="255"/>
      <c r="M15" s="256"/>
      <c r="N15" s="256"/>
      <c r="O15" s="256"/>
      <c r="P15" s="256"/>
      <c r="Q15" s="256"/>
      <c r="R15" s="256"/>
      <c r="S15" s="256"/>
      <c r="T15" s="257"/>
      <c r="U15" s="250"/>
      <c r="V15" s="251"/>
      <c r="W15" s="263" t="s">
        <v>151</v>
      </c>
      <c r="X15" s="264"/>
      <c r="Y15" s="264"/>
      <c r="Z15" s="264"/>
      <c r="AA15" s="264"/>
      <c r="AB15" s="264"/>
      <c r="AC15" s="264"/>
      <c r="AD15" s="264"/>
      <c r="AE15" s="252"/>
      <c r="AF15" s="252"/>
      <c r="AG15" s="252"/>
      <c r="AH15" s="252"/>
      <c r="AI15" s="252"/>
      <c r="AJ15" s="252"/>
      <c r="AK15" s="253"/>
      <c r="AL15" s="136"/>
      <c r="AM15" s="127" t="s">
        <v>87</v>
      </c>
      <c r="AN15" s="92"/>
      <c r="AO15" s="115" t="s">
        <v>82</v>
      </c>
      <c r="AP15" s="116"/>
      <c r="AQ15" s="116"/>
      <c r="AR15" s="122"/>
      <c r="AS15" s="116"/>
      <c r="AT15" s="127" t="s">
        <v>38</v>
      </c>
      <c r="AU15" s="127" t="s">
        <v>38</v>
      </c>
      <c r="AV15" s="42"/>
      <c r="AW15" s="115"/>
      <c r="AX15" s="116"/>
      <c r="AY15" s="63">
        <f t="shared" si="6"/>
        <v>28</v>
      </c>
      <c r="AZ15" s="118">
        <v>28</v>
      </c>
      <c r="BA15" s="63">
        <f t="shared" si="3"/>
        <v>0</v>
      </c>
      <c r="BB15" s="118"/>
      <c r="BC15" s="118"/>
      <c r="BD15" s="118"/>
      <c r="BE15" s="118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117" t="str">
        <f t="shared" si="0"/>
        <v/>
      </c>
      <c r="BR15" s="117">
        <v>138</v>
      </c>
      <c r="BS15" s="117">
        <v>148</v>
      </c>
      <c r="BT15" s="117">
        <v>148</v>
      </c>
      <c r="BU15" s="117"/>
      <c r="BV15" s="61">
        <v>14</v>
      </c>
      <c r="BW15" s="117"/>
      <c r="BX15" s="117">
        <f>BX14+8</f>
        <v>41</v>
      </c>
      <c r="BY15" s="117"/>
      <c r="BZ15" s="117">
        <f>BZ14+8</f>
        <v>41</v>
      </c>
      <c r="CA15" s="117"/>
      <c r="CB15" s="117">
        <f>CB14+8</f>
        <v>42</v>
      </c>
      <c r="CC15" s="117"/>
      <c r="CD15" s="117">
        <f>CD14+8</f>
        <v>42</v>
      </c>
      <c r="CE15" s="117"/>
      <c r="CF15" s="117">
        <f>CF14+8</f>
        <v>43</v>
      </c>
      <c r="CG15" s="117"/>
      <c r="CH15" s="117">
        <f>CH14+8</f>
        <v>43</v>
      </c>
      <c r="CI15" s="117"/>
      <c r="CJ15" s="117">
        <f>CJ14+8</f>
        <v>44</v>
      </c>
      <c r="CK15" s="117"/>
      <c r="CL15" s="117">
        <f>CL14+8</f>
        <v>44</v>
      </c>
      <c r="CM15" s="117"/>
      <c r="CN15" s="117">
        <f>CN14+8</f>
        <v>45</v>
      </c>
      <c r="CO15" s="117"/>
      <c r="CP15" s="117">
        <f>CP14+8</f>
        <v>45</v>
      </c>
      <c r="CQ15" s="117"/>
      <c r="CR15" s="117">
        <f>CR14+8</f>
        <v>46</v>
      </c>
      <c r="CS15" s="117"/>
      <c r="CT15" s="117">
        <f>CT14+8</f>
        <v>46</v>
      </c>
      <c r="CU15" s="117"/>
      <c r="CV15" s="117">
        <f>CV14+8</f>
        <v>47</v>
      </c>
      <c r="CW15" s="117"/>
      <c r="CX15" s="117">
        <f>CX14+8</f>
        <v>47</v>
      </c>
      <c r="CY15" s="117"/>
      <c r="CZ15" s="117">
        <f>CZ14+8</f>
        <v>48</v>
      </c>
      <c r="DA15" s="117"/>
      <c r="DB15" s="117">
        <f>DB14+8</f>
        <v>48</v>
      </c>
    </row>
    <row r="16" spans="1:107" s="2" customFormat="1" ht="7.5" customHeight="1" thickBot="1" x14ac:dyDescent="0.25">
      <c r="B16" s="167"/>
      <c r="C16" s="168"/>
      <c r="D16" s="168"/>
      <c r="E16" s="168"/>
      <c r="F16" s="169"/>
      <c r="G16" s="169"/>
      <c r="H16" s="169"/>
      <c r="I16" s="169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1"/>
      <c r="AL16" s="70"/>
      <c r="AM16" s="120" t="s">
        <v>65</v>
      </c>
      <c r="AN16" s="92"/>
      <c r="AO16" s="115" t="s">
        <v>11</v>
      </c>
      <c r="AP16" s="116"/>
      <c r="AQ16" s="116"/>
      <c r="AR16" s="122"/>
      <c r="AS16" s="116"/>
      <c r="AT16" s="133" t="s">
        <v>38</v>
      </c>
      <c r="AU16" s="133" t="s">
        <v>38</v>
      </c>
      <c r="AV16" s="133"/>
      <c r="AW16" s="134"/>
      <c r="AX16" s="61"/>
      <c r="AY16" s="63">
        <f t="shared" si="6"/>
        <v>30</v>
      </c>
      <c r="AZ16" s="135">
        <v>30</v>
      </c>
      <c r="BA16" s="63">
        <f t="shared" si="3"/>
        <v>0</v>
      </c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117" t="str">
        <f t="shared" si="0"/>
        <v/>
      </c>
      <c r="BR16" s="117">
        <v>155</v>
      </c>
      <c r="BS16" s="117">
        <v>155</v>
      </c>
      <c r="BT16" s="117">
        <v>155</v>
      </c>
      <c r="BU16" s="61"/>
      <c r="BV16" s="61">
        <v>15</v>
      </c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</row>
    <row r="17" spans="2:110" ht="26.25" customHeight="1" x14ac:dyDescent="0.2">
      <c r="B17" s="277" t="s">
        <v>136</v>
      </c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8"/>
      <c r="AG17" s="278"/>
      <c r="AH17" s="278"/>
      <c r="AI17" s="278"/>
      <c r="AJ17" s="278"/>
      <c r="AK17" s="279"/>
      <c r="AL17" s="129"/>
      <c r="AM17" s="92" t="s">
        <v>88</v>
      </c>
      <c r="AN17" s="92"/>
      <c r="AO17" s="115"/>
      <c r="AP17" s="116"/>
      <c r="AQ17" s="116"/>
      <c r="AR17" s="122"/>
      <c r="AS17" s="116"/>
      <c r="AT17" s="130" t="s">
        <v>38</v>
      </c>
      <c r="AU17" s="130"/>
      <c r="AV17" s="130"/>
      <c r="AW17" s="116"/>
      <c r="AX17" s="117"/>
      <c r="AY17" s="63">
        <f t="shared" si="6"/>
        <v>32</v>
      </c>
      <c r="AZ17" s="118">
        <v>32</v>
      </c>
      <c r="BA17" s="63" t="s">
        <v>38</v>
      </c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117" t="str">
        <f t="shared" si="0"/>
        <v/>
      </c>
      <c r="BR17" s="117">
        <v>160</v>
      </c>
      <c r="BS17" s="117">
        <v>168</v>
      </c>
      <c r="BT17" s="117">
        <v>168</v>
      </c>
      <c r="BU17" s="117"/>
      <c r="BV17" s="61">
        <v>16</v>
      </c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8">
        <f>IF($K$18="x",$AJ$39*2,$AJ$39)</f>
        <v>0</v>
      </c>
    </row>
    <row r="18" spans="2:110" ht="25.5" customHeight="1" thickBot="1" x14ac:dyDescent="0.25">
      <c r="B18" s="280" t="s">
        <v>137</v>
      </c>
      <c r="C18" s="281"/>
      <c r="D18" s="281"/>
      <c r="E18" s="281"/>
      <c r="F18" s="281"/>
      <c r="G18" s="281"/>
      <c r="H18" s="281"/>
      <c r="I18" s="281"/>
      <c r="J18" s="281"/>
      <c r="K18" s="282"/>
      <c r="L18" s="283"/>
      <c r="M18" s="284" t="s">
        <v>138</v>
      </c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6"/>
      <c r="AD18" s="282"/>
      <c r="AE18" s="287"/>
      <c r="AF18" s="288" t="s">
        <v>121</v>
      </c>
      <c r="AG18" s="289"/>
      <c r="AH18" s="172"/>
      <c r="AI18" s="172"/>
      <c r="AJ18" s="172"/>
      <c r="AK18" s="173"/>
      <c r="AL18" s="70"/>
      <c r="AM18" s="92" t="s">
        <v>89</v>
      </c>
      <c r="AN18" s="120"/>
      <c r="AO18" s="139"/>
      <c r="AP18" s="130"/>
      <c r="AQ18" s="130"/>
      <c r="AR18" s="130"/>
      <c r="AS18" s="43"/>
      <c r="AT18" s="130"/>
      <c r="AU18" s="130"/>
      <c r="AV18" s="130"/>
      <c r="AW18" s="116"/>
      <c r="AX18" s="117"/>
      <c r="AY18" s="63">
        <f t="shared" si="6"/>
        <v>34</v>
      </c>
      <c r="AZ18" s="118">
        <v>34</v>
      </c>
      <c r="BA18" s="63" t="s">
        <v>38</v>
      </c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117" t="str">
        <f t="shared" si="0"/>
        <v/>
      </c>
      <c r="BR18" s="117">
        <v>190</v>
      </c>
      <c r="BS18" s="117">
        <v>187</v>
      </c>
      <c r="BT18" s="117">
        <v>187</v>
      </c>
      <c r="BU18" s="117"/>
      <c r="BV18" s="61">
        <v>17</v>
      </c>
      <c r="BW18" s="117"/>
      <c r="BX18" s="117">
        <v>1</v>
      </c>
      <c r="BY18" s="117"/>
      <c r="BZ18" s="117">
        <v>1</v>
      </c>
      <c r="CA18" s="117"/>
      <c r="CB18" s="117">
        <v>2</v>
      </c>
      <c r="CC18" s="117"/>
      <c r="CD18" s="117">
        <v>2</v>
      </c>
      <c r="CE18" s="117"/>
      <c r="CF18" s="117">
        <v>3</v>
      </c>
      <c r="CG18" s="117"/>
      <c r="CH18" s="117">
        <v>3</v>
      </c>
      <c r="CI18" s="117"/>
      <c r="CJ18" s="117">
        <v>4</v>
      </c>
      <c r="CK18" s="117"/>
      <c r="CL18" s="117">
        <v>4</v>
      </c>
      <c r="CM18" s="117"/>
      <c r="CN18" s="117">
        <v>5</v>
      </c>
      <c r="CO18" s="117"/>
      <c r="CP18" s="117">
        <v>5</v>
      </c>
      <c r="CQ18" s="117"/>
      <c r="CR18" s="117">
        <v>6</v>
      </c>
      <c r="CS18" s="117"/>
      <c r="CT18" s="117">
        <v>6</v>
      </c>
      <c r="CU18" s="117"/>
      <c r="CV18" s="117">
        <v>7</v>
      </c>
      <c r="CW18" s="117"/>
      <c r="CX18" s="117">
        <v>7</v>
      </c>
      <c r="CY18" s="117"/>
      <c r="CZ18" s="117">
        <v>8</v>
      </c>
      <c r="DA18" s="117"/>
      <c r="DB18" s="117">
        <v>8</v>
      </c>
    </row>
    <row r="19" spans="2:110" s="2" customFormat="1" ht="7.5" customHeight="1" thickBot="1" x14ac:dyDescent="0.25">
      <c r="B19" s="167"/>
      <c r="C19" s="168"/>
      <c r="D19" s="168"/>
      <c r="E19" s="168"/>
      <c r="F19" s="169"/>
      <c r="G19" s="169"/>
      <c r="H19" s="169"/>
      <c r="I19" s="169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1"/>
      <c r="AL19" s="140"/>
      <c r="AM19" s="92" t="s">
        <v>90</v>
      </c>
      <c r="AN19" s="89"/>
      <c r="AO19" s="141"/>
      <c r="AP19" s="133"/>
      <c r="AQ19" s="133"/>
      <c r="AR19" s="133"/>
      <c r="AS19" s="133"/>
      <c r="AT19" s="133"/>
      <c r="AU19" s="133"/>
      <c r="AV19" s="133"/>
      <c r="AW19" s="134"/>
      <c r="AX19" s="61"/>
      <c r="AY19" s="63">
        <f t="shared" si="6"/>
        <v>36</v>
      </c>
      <c r="AZ19" s="158">
        <v>36</v>
      </c>
      <c r="BA19" s="88" t="s">
        <v>38</v>
      </c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117" t="str">
        <f t="shared" si="0"/>
        <v/>
      </c>
      <c r="BR19" s="117">
        <v>212</v>
      </c>
      <c r="BS19" s="117">
        <v>205</v>
      </c>
      <c r="BT19" s="117">
        <v>205</v>
      </c>
      <c r="BU19" s="61"/>
      <c r="BV19" s="61" t="s">
        <v>69</v>
      </c>
      <c r="BW19" s="61"/>
      <c r="BX19" s="117">
        <f>BX18+8</f>
        <v>9</v>
      </c>
      <c r="BY19" s="117"/>
      <c r="BZ19" s="117">
        <f>BZ18+8</f>
        <v>9</v>
      </c>
      <c r="CA19" s="117"/>
      <c r="CB19" s="117">
        <f>CB18+8</f>
        <v>10</v>
      </c>
      <c r="CC19" s="117"/>
      <c r="CD19" s="117">
        <f>CD18+8</f>
        <v>10</v>
      </c>
      <c r="CE19" s="117"/>
      <c r="CF19" s="117">
        <f>CF18+8</f>
        <v>11</v>
      </c>
      <c r="CG19" s="117"/>
      <c r="CH19" s="117">
        <f>CH18+8</f>
        <v>11</v>
      </c>
      <c r="CI19" s="117"/>
      <c r="CJ19" s="117">
        <f>CJ18+8</f>
        <v>12</v>
      </c>
      <c r="CK19" s="117"/>
      <c r="CL19" s="117">
        <f>CL18+8</f>
        <v>12</v>
      </c>
      <c r="CM19" s="117"/>
      <c r="CN19" s="117">
        <f>CN18+8</f>
        <v>13</v>
      </c>
      <c r="CO19" s="117"/>
      <c r="CP19" s="117">
        <f>CP18+8</f>
        <v>13</v>
      </c>
      <c r="CQ19" s="117"/>
      <c r="CR19" s="117">
        <f>CR18+8</f>
        <v>14</v>
      </c>
      <c r="CS19" s="117"/>
      <c r="CT19" s="117">
        <f>CT18+8</f>
        <v>14</v>
      </c>
      <c r="CU19" s="117"/>
      <c r="CV19" s="117">
        <f>CV18+8</f>
        <v>15</v>
      </c>
      <c r="CW19" s="117"/>
      <c r="CX19" s="117">
        <f>CX18+8</f>
        <v>15</v>
      </c>
      <c r="CY19" s="117"/>
      <c r="CZ19" s="117">
        <f>CZ18+8</f>
        <v>16</v>
      </c>
      <c r="DA19" s="117"/>
      <c r="DB19" s="117">
        <f>DB18+8</f>
        <v>16</v>
      </c>
    </row>
    <row r="20" spans="2:110" ht="27" customHeight="1" thickBot="1" x14ac:dyDescent="0.25">
      <c r="B20" s="235" t="s">
        <v>139</v>
      </c>
      <c r="C20" s="231"/>
      <c r="D20" s="231"/>
      <c r="E20" s="231"/>
      <c r="F20" s="247" t="s">
        <v>45</v>
      </c>
      <c r="G20" s="236"/>
      <c r="H20" s="236"/>
      <c r="I20" s="248"/>
      <c r="J20" s="240" t="s">
        <v>140</v>
      </c>
      <c r="K20" s="240"/>
      <c r="L20" s="240"/>
      <c r="M20" s="240"/>
      <c r="N20" s="240"/>
      <c r="O20" s="240"/>
      <c r="P20" s="240"/>
      <c r="Q20" s="241"/>
      <c r="R20" s="247"/>
      <c r="S20" s="236"/>
      <c r="T20" s="236"/>
      <c r="U20" s="248"/>
      <c r="V20" s="240" t="s">
        <v>141</v>
      </c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1"/>
      <c r="AI20" s="236"/>
      <c r="AJ20" s="236"/>
      <c r="AK20" s="237"/>
      <c r="AL20" s="102"/>
      <c r="AM20" s="92" t="s">
        <v>66</v>
      </c>
      <c r="AN20" s="127"/>
      <c r="AO20" s="31"/>
      <c r="AP20" s="31"/>
      <c r="AQ20" s="31"/>
      <c r="AR20" s="32"/>
      <c r="AS20" s="139"/>
      <c r="AT20" s="130"/>
      <c r="AU20" s="130"/>
      <c r="AV20" s="130"/>
      <c r="AW20" s="116"/>
      <c r="AX20" s="116"/>
      <c r="AY20" s="63">
        <f t="shared" si="6"/>
        <v>38</v>
      </c>
      <c r="AZ20" s="118">
        <v>38</v>
      </c>
      <c r="BA20" s="118" t="s">
        <v>38</v>
      </c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117" t="str">
        <f t="shared" si="0"/>
        <v/>
      </c>
      <c r="BR20" s="117">
        <v>224</v>
      </c>
      <c r="BS20" s="117">
        <v>210</v>
      </c>
      <c r="BT20" s="117">
        <v>210</v>
      </c>
      <c r="BU20" s="117"/>
      <c r="BV20" s="61">
        <v>19</v>
      </c>
      <c r="BW20" s="117"/>
      <c r="BX20" s="117">
        <f>BX19+8</f>
        <v>17</v>
      </c>
      <c r="BY20" s="117"/>
      <c r="BZ20" s="117">
        <f>BZ19+8</f>
        <v>17</v>
      </c>
      <c r="CA20" s="117"/>
      <c r="CB20" s="117">
        <f>CB19+8</f>
        <v>18</v>
      </c>
      <c r="CC20" s="117"/>
      <c r="CD20" s="117">
        <f>CD19+8</f>
        <v>18</v>
      </c>
      <c r="CE20" s="117"/>
      <c r="CF20" s="117">
        <f>CF19+8</f>
        <v>19</v>
      </c>
      <c r="CG20" s="117"/>
      <c r="CH20" s="117">
        <f>CH19+8</f>
        <v>19</v>
      </c>
      <c r="CI20" s="117"/>
      <c r="CJ20" s="117">
        <f>CJ19+8</f>
        <v>20</v>
      </c>
      <c r="CK20" s="117"/>
      <c r="CL20" s="117">
        <f>CL19+8</f>
        <v>20</v>
      </c>
      <c r="CM20" s="117"/>
      <c r="CN20" s="117">
        <f>CN19+8</f>
        <v>21</v>
      </c>
      <c r="CO20" s="117"/>
      <c r="CP20" s="117">
        <f>CP19+8</f>
        <v>21</v>
      </c>
      <c r="CQ20" s="117"/>
      <c r="CR20" s="117">
        <f>CR19+8</f>
        <v>22</v>
      </c>
      <c r="CS20" s="117"/>
      <c r="CT20" s="117">
        <f>CT19+8</f>
        <v>22</v>
      </c>
      <c r="CU20" s="117"/>
      <c r="CV20" s="117">
        <f>CV19+8</f>
        <v>23</v>
      </c>
      <c r="CW20" s="117"/>
      <c r="CX20" s="117">
        <f>CX19+8</f>
        <v>23</v>
      </c>
      <c r="CY20" s="117"/>
      <c r="CZ20" s="117">
        <f>CZ19+8</f>
        <v>24</v>
      </c>
      <c r="DA20" s="117"/>
      <c r="DB20" s="117">
        <f>DB19+8</f>
        <v>24</v>
      </c>
    </row>
    <row r="21" spans="2:110" ht="38.25" customHeight="1" thickBot="1" x14ac:dyDescent="0.25">
      <c r="B21" s="216" t="s">
        <v>142</v>
      </c>
      <c r="C21" s="217"/>
      <c r="D21" s="217"/>
      <c r="E21" s="217"/>
      <c r="F21" s="217"/>
      <c r="G21" s="217"/>
      <c r="H21" s="217"/>
      <c r="I21" s="202"/>
      <c r="J21" s="215" t="s">
        <v>9</v>
      </c>
      <c r="K21" s="202"/>
      <c r="L21" s="210" t="s">
        <v>45</v>
      </c>
      <c r="M21" s="211"/>
      <c r="N21" s="215" t="s">
        <v>10</v>
      </c>
      <c r="O21" s="202"/>
      <c r="P21" s="210" t="s">
        <v>45</v>
      </c>
      <c r="Q21" s="211"/>
      <c r="R21" s="215" t="s">
        <v>11</v>
      </c>
      <c r="S21" s="202"/>
      <c r="T21" s="208"/>
      <c r="U21" s="209"/>
      <c r="V21" s="207" t="s">
        <v>143</v>
      </c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38"/>
      <c r="AH21" s="291" t="s">
        <v>38</v>
      </c>
      <c r="AI21" s="291"/>
      <c r="AJ21" s="221" t="s">
        <v>21</v>
      </c>
      <c r="AK21" s="222"/>
      <c r="AL21" s="234"/>
      <c r="AM21" s="92" t="s">
        <v>67</v>
      </c>
      <c r="AN21" s="89"/>
      <c r="AO21" s="224" t="str">
        <f>CONCATENATE(AP21,AQ21,AR21,AS21,AT21,AU21,AV21,AW21)</f>
        <v>,/,/,/,/,/,/,/,/,/,/,/,/,/,/,/,/,/,/,/,/,/,/,/,/,/,/,/,/,/,/,/,/,/,/,/,/,/,/,/,/,/,/,/,/,/,/,/,/</v>
      </c>
      <c r="AP21" s="223" t="str">
        <f>CONCATENATE(F24,G24,H24,I24,J24,K24,L24,M24,N24,O24,P24,Q24,R24,S24,T24,U24,V24,W24,X24,Y24,Z24,AA24,AB24,AC24,AD24,AE24,AF24,AG24,AH24,AI24)</f>
        <v>,/,/,/,/,/,/,/,</v>
      </c>
      <c r="AQ21" s="223" t="str">
        <f>CONCATENATE(AJ24,AK24,F25,G25,H25,I25,J25,K25,L25,M25,N25,O25,P25,Q25,R25,S25,T25,U25,V25,W25,X25,Y25,Z25,AA25,AB25)</f>
        <v>/,/,/,/,/,/,</v>
      </c>
      <c r="AR21" s="223" t="str">
        <f>CONCATENATE(AC25,AD25,AE25,AF25,AG25,AH25,AI25,AJ25,AK25,F26,G26,H26,I26,J26,K26,L26,M26,N26,O26,P26,Q26,R26)</f>
        <v>/,/,/,/,/,/</v>
      </c>
      <c r="AS21" s="223" t="str">
        <f>CONCATENATE(S26,T26,U26,V26,W26,X26,Y26,Z26,AA26,AB26,AC26,AD26,AE26,AF26,AG26,AH26,AI26,AJ26,AK26,F27,G27,H27,I27,J27,K27)</f>
        <v>,/,/,/,/,/,/,</v>
      </c>
      <c r="AT21" s="223" t="str">
        <f>CONCATENATE(L27,M27,N27,O27,P27,Q27,R27,S27,T27,U27,V27,W27,X27,Y27,Z27,AA27,AB27,AC27,AD27,AE27,AF27,AG27,AH27,AI27,AJ27,AK27)</f>
        <v>/,/,/,/,/,/,/</v>
      </c>
      <c r="AU21" s="223" t="str">
        <f>CONCATENATE(F28,G28,H28,I28,J28,K28,L28,M28,N28,O28,P28,Q28,R28,S28,T28,U28,V28,W28,X28,Y28,Z28,AA28,AB28,AC28,AD28,AE28)</f>
        <v>,/,/,/,/,/,/,</v>
      </c>
      <c r="AV21" s="223" t="str">
        <f>CONCATENATE(AF28,AG28,AH28,AI28,AJ28,AK28,F29,G29,H29,I29,J29,K29,L29,M29,N29,O29,P29,Q29,R29,S29,T29,U29,V29,W29,X29,Y29)</f>
        <v>/,/,/,/,/,/,/</v>
      </c>
      <c r="AW21" s="223" t="str">
        <f>CONCATENATE(Z29,AA29,AB29,AC29,AD29,AE29,AF29,AG29,AH29,AI29,AJ29,AK29)</f>
        <v>,/,/,/</v>
      </c>
      <c r="AX21" s="117"/>
      <c r="AY21" s="63">
        <f t="shared" si="6"/>
        <v>40</v>
      </c>
      <c r="AZ21" s="118">
        <v>40</v>
      </c>
      <c r="BA21" s="63" t="s">
        <v>38</v>
      </c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117" t="str">
        <f t="shared" si="0"/>
        <v/>
      </c>
      <c r="BR21" s="117">
        <v>285</v>
      </c>
      <c r="BS21" s="117">
        <v>220</v>
      </c>
      <c r="BT21" s="117">
        <v>220</v>
      </c>
      <c r="BU21" s="117"/>
      <c r="BV21" s="61">
        <v>20</v>
      </c>
      <c r="BW21" s="117"/>
      <c r="BX21" s="117">
        <f>BX20+8</f>
        <v>25</v>
      </c>
      <c r="BY21" s="117"/>
      <c r="BZ21" s="117">
        <f>BZ20+8</f>
        <v>25</v>
      </c>
      <c r="CA21" s="117"/>
      <c r="CB21" s="117">
        <f>CB20+8</f>
        <v>26</v>
      </c>
      <c r="CC21" s="117"/>
      <c r="CD21" s="117">
        <f>CD20+8</f>
        <v>26</v>
      </c>
      <c r="CE21" s="117"/>
      <c r="CF21" s="117">
        <f>CF20+8</f>
        <v>27</v>
      </c>
      <c r="CG21" s="117"/>
      <c r="CH21" s="117">
        <f>CH20+8</f>
        <v>27</v>
      </c>
      <c r="CI21" s="117"/>
      <c r="CJ21" s="117">
        <f>CJ20+8</f>
        <v>28</v>
      </c>
      <c r="CK21" s="117"/>
      <c r="CL21" s="117">
        <f>CL20+8</f>
        <v>28</v>
      </c>
      <c r="CM21" s="117"/>
      <c r="CN21" s="117">
        <f>CN20+8</f>
        <v>29</v>
      </c>
      <c r="CO21" s="117"/>
      <c r="CP21" s="117">
        <f>CP20+8</f>
        <v>29</v>
      </c>
      <c r="CQ21" s="117"/>
      <c r="CR21" s="117">
        <f>CR20+8</f>
        <v>30</v>
      </c>
      <c r="CS21" s="117"/>
      <c r="CT21" s="117">
        <f>CT20+8</f>
        <v>30</v>
      </c>
      <c r="CU21" s="117"/>
      <c r="CV21" s="117">
        <f>CV20+8</f>
        <v>31</v>
      </c>
      <c r="CW21" s="117"/>
      <c r="CX21" s="117">
        <f>CX20+8</f>
        <v>31</v>
      </c>
      <c r="CY21" s="117"/>
      <c r="CZ21" s="117">
        <f>CZ20+8</f>
        <v>32</v>
      </c>
      <c r="DA21" s="117"/>
      <c r="DB21" s="117">
        <f>DB20+8</f>
        <v>32</v>
      </c>
    </row>
    <row r="22" spans="2:110" ht="8.25" customHeight="1" thickBot="1" x14ac:dyDescent="0.25">
      <c r="B22" s="218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20"/>
      <c r="AL22" s="234"/>
      <c r="AM22" s="92" t="s">
        <v>68</v>
      </c>
      <c r="AN22" s="89"/>
      <c r="AO22" s="224"/>
      <c r="AP22" s="223"/>
      <c r="AQ22" s="223"/>
      <c r="AR22" s="223"/>
      <c r="AS22" s="223"/>
      <c r="AT22" s="223"/>
      <c r="AU22" s="223"/>
      <c r="AV22" s="223"/>
      <c r="AW22" s="223"/>
      <c r="AX22" s="143"/>
      <c r="AY22" s="63">
        <f t="shared" si="6"/>
        <v>42</v>
      </c>
      <c r="AZ22" s="144">
        <v>42</v>
      </c>
      <c r="BA22" s="145" t="s">
        <v>38</v>
      </c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17" t="str">
        <f t="shared" si="0"/>
        <v/>
      </c>
      <c r="BR22" s="117">
        <v>288</v>
      </c>
      <c r="BS22" s="117">
        <v>223</v>
      </c>
      <c r="BT22" s="117">
        <v>223</v>
      </c>
      <c r="BU22" s="143"/>
      <c r="BV22" s="143"/>
      <c r="BW22" s="143"/>
      <c r="BX22" s="117">
        <f>BX21+8</f>
        <v>33</v>
      </c>
      <c r="BY22" s="117"/>
      <c r="BZ22" s="117">
        <f>BZ21+8</f>
        <v>33</v>
      </c>
      <c r="CA22" s="117"/>
      <c r="CB22" s="117">
        <f>CB21+8</f>
        <v>34</v>
      </c>
      <c r="CC22" s="117"/>
      <c r="CD22" s="117">
        <f>CD21+8</f>
        <v>34</v>
      </c>
      <c r="CE22" s="117"/>
      <c r="CF22" s="117">
        <f>CF21+8</f>
        <v>35</v>
      </c>
      <c r="CG22" s="117"/>
      <c r="CH22" s="117">
        <f>CH21+8</f>
        <v>35</v>
      </c>
      <c r="CI22" s="117"/>
      <c r="CJ22" s="117">
        <f>CJ21+8</f>
        <v>36</v>
      </c>
      <c r="CK22" s="117"/>
      <c r="CL22" s="117">
        <f>CL21+8</f>
        <v>36</v>
      </c>
      <c r="CM22" s="117"/>
      <c r="CN22" s="117">
        <f>CN21+8</f>
        <v>37</v>
      </c>
      <c r="CO22" s="117"/>
      <c r="CP22" s="117">
        <f>CP21+8</f>
        <v>37</v>
      </c>
      <c r="CQ22" s="117"/>
      <c r="CR22" s="117">
        <f>CR21+8</f>
        <v>38</v>
      </c>
      <c r="CS22" s="117"/>
      <c r="CT22" s="117">
        <f>CT21+8</f>
        <v>38</v>
      </c>
      <c r="CU22" s="117"/>
      <c r="CV22" s="117">
        <f>CV21+8</f>
        <v>39</v>
      </c>
      <c r="CW22" s="117"/>
      <c r="CX22" s="117">
        <f>CX21+8</f>
        <v>39</v>
      </c>
      <c r="CY22" s="117"/>
      <c r="CZ22" s="117">
        <f>CZ21+8</f>
        <v>40</v>
      </c>
      <c r="DA22" s="117"/>
      <c r="DB22" s="117">
        <f>DB21+8</f>
        <v>40</v>
      </c>
    </row>
    <row r="23" spans="2:110" ht="27" customHeight="1" thickBot="1" x14ac:dyDescent="0.25">
      <c r="B23" s="212" t="s">
        <v>144</v>
      </c>
      <c r="C23" s="213"/>
      <c r="D23" s="213"/>
      <c r="E23" s="214"/>
      <c r="F23" s="195"/>
      <c r="G23" s="196"/>
      <c r="H23" s="174"/>
      <c r="I23" s="217" t="s">
        <v>145</v>
      </c>
      <c r="J23" s="217"/>
      <c r="K23" s="217"/>
      <c r="L23" s="202"/>
      <c r="M23" s="197"/>
      <c r="N23" s="197"/>
      <c r="O23" s="239" t="s">
        <v>146</v>
      </c>
      <c r="P23" s="239"/>
      <c r="Q23" s="239"/>
      <c r="R23" s="239"/>
      <c r="S23" s="239"/>
      <c r="T23" s="197" t="s">
        <v>45</v>
      </c>
      <c r="U23" s="198"/>
      <c r="V23" s="202" t="s">
        <v>147</v>
      </c>
      <c r="W23" s="203"/>
      <c r="X23" s="203"/>
      <c r="Y23" s="203"/>
      <c r="Z23" s="203"/>
      <c r="AA23" s="197"/>
      <c r="AB23" s="197"/>
      <c r="AC23" s="231" t="s">
        <v>148</v>
      </c>
      <c r="AD23" s="231"/>
      <c r="AE23" s="231"/>
      <c r="AF23" s="231"/>
      <c r="AG23" s="231"/>
      <c r="AH23" s="231"/>
      <c r="AI23" s="231"/>
      <c r="AJ23" s="290" t="s">
        <v>45</v>
      </c>
      <c r="AK23" s="233"/>
      <c r="AL23" s="234"/>
      <c r="AM23" s="92" t="s">
        <v>69</v>
      </c>
      <c r="AN23" s="89"/>
      <c r="AO23" s="224"/>
      <c r="AP23" s="223"/>
      <c r="AQ23" s="223"/>
      <c r="AR23" s="223"/>
      <c r="AS23" s="223"/>
      <c r="AT23" s="223"/>
      <c r="AU23" s="223"/>
      <c r="AV23" s="223"/>
      <c r="AW23" s="223"/>
      <c r="AX23" s="117"/>
      <c r="AY23" s="63">
        <f t="shared" si="6"/>
        <v>44</v>
      </c>
      <c r="AZ23" s="146">
        <v>44</v>
      </c>
      <c r="BA23" s="63" t="s">
        <v>38</v>
      </c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117" t="str">
        <f t="shared" si="0"/>
        <v/>
      </c>
      <c r="BR23" s="117">
        <v>322</v>
      </c>
      <c r="BS23" s="117">
        <v>228</v>
      </c>
      <c r="BT23" s="117">
        <v>228</v>
      </c>
      <c r="BU23" s="117"/>
      <c r="BV23" s="117"/>
      <c r="BW23" s="117"/>
      <c r="BX23" s="117">
        <f>BX22+8</f>
        <v>41</v>
      </c>
      <c r="BY23" s="117"/>
      <c r="BZ23" s="117">
        <f>BZ22+8</f>
        <v>41</v>
      </c>
      <c r="CA23" s="117"/>
      <c r="CB23" s="117">
        <f>CB22+8</f>
        <v>42</v>
      </c>
      <c r="CC23" s="117"/>
      <c r="CD23" s="117">
        <f>CD22+8</f>
        <v>42</v>
      </c>
      <c r="CE23" s="117"/>
      <c r="CF23" s="117">
        <f>CF22+8</f>
        <v>43</v>
      </c>
      <c r="CG23" s="117"/>
      <c r="CH23" s="117">
        <f>CH22+8</f>
        <v>43</v>
      </c>
      <c r="CI23" s="117"/>
      <c r="CJ23" s="117">
        <f>CJ22+8</f>
        <v>44</v>
      </c>
      <c r="CK23" s="117"/>
      <c r="CL23" s="117">
        <f>CL22+8</f>
        <v>44</v>
      </c>
      <c r="CM23" s="117"/>
      <c r="CN23" s="117">
        <f>CN22+8</f>
        <v>45</v>
      </c>
      <c r="CO23" s="117"/>
      <c r="CP23" s="117">
        <f>CP22+8</f>
        <v>45</v>
      </c>
      <c r="CQ23" s="117"/>
      <c r="CR23" s="117">
        <f>CR22+8</f>
        <v>46</v>
      </c>
      <c r="CS23" s="117"/>
      <c r="CT23" s="117">
        <f>CT22+8</f>
        <v>46</v>
      </c>
      <c r="CU23" s="117"/>
      <c r="CV23" s="117">
        <f>CV22+8</f>
        <v>47</v>
      </c>
      <c r="CW23" s="117"/>
      <c r="CX23" s="117">
        <f>CX22+8</f>
        <v>47</v>
      </c>
      <c r="CY23" s="117"/>
      <c r="CZ23" s="117">
        <f>CZ22+8</f>
        <v>48</v>
      </c>
      <c r="DA23" s="117"/>
      <c r="DB23" s="117">
        <f>DB22+8</f>
        <v>48</v>
      </c>
      <c r="DF23" s="113"/>
    </row>
    <row r="24" spans="2:110" ht="13.5" customHeight="1" thickBot="1" x14ac:dyDescent="0.25">
      <c r="B24" s="204" t="s">
        <v>149</v>
      </c>
      <c r="C24" s="205"/>
      <c r="D24" s="205"/>
      <c r="E24" s="205"/>
      <c r="F24" s="175"/>
      <c r="G24" s="176" t="str">
        <f t="shared" ref="G24:G29" si="7">IF($DB$1&gt;=BX2,",","")</f>
        <v>,</v>
      </c>
      <c r="H24" s="177"/>
      <c r="I24" s="176" t="str">
        <f t="shared" ref="I24:I29" si="8">IF($DB$1&gt;BZ2,"/","")</f>
        <v>/</v>
      </c>
      <c r="J24" s="177"/>
      <c r="K24" s="176" t="str">
        <f t="shared" ref="K24:K29" si="9">IF($DB$1&gt;=CB2,",","")</f>
        <v>,</v>
      </c>
      <c r="L24" s="177"/>
      <c r="M24" s="176" t="str">
        <f t="shared" ref="M24:M29" si="10">IF($DB$1&gt;CD2,"/","")</f>
        <v>/</v>
      </c>
      <c r="N24" s="177"/>
      <c r="O24" s="176" t="str">
        <f t="shared" ref="O24:O29" si="11">IF($DB$1&gt;=CF2,",","")</f>
        <v>,</v>
      </c>
      <c r="P24" s="177"/>
      <c r="Q24" s="176" t="str">
        <f t="shared" ref="Q24:Q29" si="12">IF($DB$1&gt;CH2,"/","")</f>
        <v>/</v>
      </c>
      <c r="R24" s="177"/>
      <c r="S24" s="176" t="str">
        <f t="shared" ref="S24:S29" si="13">IF($DB$1&gt;=CJ2,",","")</f>
        <v>,</v>
      </c>
      <c r="T24" s="177"/>
      <c r="U24" s="176" t="str">
        <f t="shared" ref="U24:U29" si="14">IF($DB$1&gt;CL2,"/","")</f>
        <v>/</v>
      </c>
      <c r="V24" s="177"/>
      <c r="W24" s="176" t="str">
        <f t="shared" ref="W24:W29" si="15">IF($DB$1&gt;=CN2,",","")</f>
        <v>,</v>
      </c>
      <c r="X24" s="177"/>
      <c r="Y24" s="176" t="str">
        <f t="shared" ref="Y24:Y29" si="16">IF($DB$1&gt;CP2,"/","")</f>
        <v>/</v>
      </c>
      <c r="Z24" s="177"/>
      <c r="AA24" s="176" t="str">
        <f t="shared" ref="AA24:AA29" si="17">IF($DB$1&gt;=CR2,",","")</f>
        <v>,</v>
      </c>
      <c r="AB24" s="177"/>
      <c r="AC24" s="176" t="str">
        <f t="shared" ref="AC24:AC29" si="18">IF($DB$1&gt;CT2,"/","")</f>
        <v>/</v>
      </c>
      <c r="AD24" s="177"/>
      <c r="AE24" s="176" t="str">
        <f t="shared" ref="AE24:AE29" si="19">IF($DB$1&gt;=CV2,",","")</f>
        <v>,</v>
      </c>
      <c r="AF24" s="177"/>
      <c r="AG24" s="176" t="str">
        <f t="shared" ref="AG24:AG29" si="20">IF($DB$1&gt;CX2,"/","")</f>
        <v>/</v>
      </c>
      <c r="AH24" s="177"/>
      <c r="AI24" s="176" t="str">
        <f t="shared" ref="AI24:AI29" si="21">IF($DB$1&gt;=CZ2,",","")</f>
        <v>,</v>
      </c>
      <c r="AJ24" s="177"/>
      <c r="AK24" s="178" t="str">
        <f t="shared" ref="AK24:AK29" si="22">IF($DB$1&gt;DB2,"/","")</f>
        <v>/</v>
      </c>
      <c r="AL24" s="234"/>
      <c r="AM24" s="120" t="s">
        <v>70</v>
      </c>
      <c r="AN24" s="89"/>
      <c r="AO24" s="224"/>
      <c r="AP24" s="223"/>
      <c r="AQ24" s="223"/>
      <c r="AR24" s="223"/>
      <c r="AS24" s="223"/>
      <c r="AT24" s="223"/>
      <c r="AU24" s="223"/>
      <c r="AV24" s="223"/>
      <c r="AW24" s="223"/>
      <c r="AX24" s="117"/>
      <c r="AY24" s="63">
        <f t="shared" si="6"/>
        <v>46</v>
      </c>
      <c r="AZ24" s="146">
        <v>46</v>
      </c>
      <c r="BA24" s="63" t="s">
        <v>38</v>
      </c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117" t="str">
        <f t="shared" si="0"/>
        <v/>
      </c>
      <c r="BR24" s="117" t="s">
        <v>38</v>
      </c>
      <c r="BS24" s="117">
        <v>240</v>
      </c>
      <c r="BT24" s="117">
        <v>240</v>
      </c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</row>
    <row r="25" spans="2:110" ht="13.5" customHeight="1" thickBot="1" x14ac:dyDescent="0.25">
      <c r="B25" s="204"/>
      <c r="C25" s="205"/>
      <c r="D25" s="205"/>
      <c r="E25" s="205"/>
      <c r="F25" s="175"/>
      <c r="G25" s="176" t="str">
        <f t="shared" si="7"/>
        <v>,</v>
      </c>
      <c r="H25" s="177"/>
      <c r="I25" s="176" t="str">
        <f t="shared" si="8"/>
        <v>/</v>
      </c>
      <c r="J25" s="177"/>
      <c r="K25" s="176" t="str">
        <f t="shared" si="9"/>
        <v>,</v>
      </c>
      <c r="L25" s="177"/>
      <c r="M25" s="176" t="str">
        <f t="shared" si="10"/>
        <v>/</v>
      </c>
      <c r="N25" s="177"/>
      <c r="O25" s="176" t="str">
        <f t="shared" si="11"/>
        <v>,</v>
      </c>
      <c r="P25" s="177"/>
      <c r="Q25" s="176" t="str">
        <f t="shared" si="12"/>
        <v>/</v>
      </c>
      <c r="R25" s="177"/>
      <c r="S25" s="176" t="str">
        <f t="shared" si="13"/>
        <v>,</v>
      </c>
      <c r="T25" s="177"/>
      <c r="U25" s="176" t="str">
        <f t="shared" si="14"/>
        <v>/</v>
      </c>
      <c r="V25" s="177"/>
      <c r="W25" s="176" t="str">
        <f t="shared" si="15"/>
        <v>,</v>
      </c>
      <c r="X25" s="177"/>
      <c r="Y25" s="176" t="str">
        <f t="shared" si="16"/>
        <v>/</v>
      </c>
      <c r="Z25" s="177"/>
      <c r="AA25" s="176" t="str">
        <f t="shared" si="17"/>
        <v>,</v>
      </c>
      <c r="AB25" s="177"/>
      <c r="AC25" s="176" t="str">
        <f t="shared" si="18"/>
        <v>/</v>
      </c>
      <c r="AD25" s="177"/>
      <c r="AE25" s="176" t="str">
        <f t="shared" si="19"/>
        <v>,</v>
      </c>
      <c r="AF25" s="177"/>
      <c r="AG25" s="176" t="str">
        <f t="shared" si="20"/>
        <v>/</v>
      </c>
      <c r="AH25" s="177"/>
      <c r="AI25" s="176" t="str">
        <f t="shared" si="21"/>
        <v>,</v>
      </c>
      <c r="AJ25" s="177"/>
      <c r="AK25" s="178" t="str">
        <f t="shared" si="22"/>
        <v>/</v>
      </c>
      <c r="AL25" s="234"/>
      <c r="AM25" s="89" t="s">
        <v>71</v>
      </c>
      <c r="AN25" s="89"/>
      <c r="AO25" s="224"/>
      <c r="AP25" s="223"/>
      <c r="AQ25" s="223"/>
      <c r="AR25" s="223"/>
      <c r="AS25" s="223"/>
      <c r="AT25" s="223"/>
      <c r="AU25" s="223"/>
      <c r="AV25" s="223"/>
      <c r="AW25" s="223"/>
      <c r="AX25" s="117"/>
      <c r="AY25" s="63">
        <f t="shared" si="6"/>
        <v>48</v>
      </c>
      <c r="AZ25" s="146">
        <v>48</v>
      </c>
      <c r="BA25" s="63" t="s">
        <v>38</v>
      </c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117" t="str">
        <f t="shared" si="0"/>
        <v/>
      </c>
      <c r="BR25" s="117" t="s">
        <v>38</v>
      </c>
      <c r="BS25" s="117">
        <v>245</v>
      </c>
      <c r="BT25" s="117">
        <v>245</v>
      </c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8">
        <f>IF($K$18="x",$AJ$47*2,$AJ$47)</f>
        <v>0</v>
      </c>
    </row>
    <row r="26" spans="2:110" ht="13.5" customHeight="1" thickBot="1" x14ac:dyDescent="0.25">
      <c r="B26" s="204"/>
      <c r="C26" s="205"/>
      <c r="D26" s="205"/>
      <c r="E26" s="205"/>
      <c r="F26" s="175"/>
      <c r="G26" s="176" t="str">
        <f t="shared" si="7"/>
        <v>,</v>
      </c>
      <c r="H26" s="177"/>
      <c r="I26" s="176" t="str">
        <f t="shared" si="8"/>
        <v>/</v>
      </c>
      <c r="J26" s="177"/>
      <c r="K26" s="176" t="str">
        <f t="shared" si="9"/>
        <v>,</v>
      </c>
      <c r="L26" s="177"/>
      <c r="M26" s="176" t="str">
        <f t="shared" si="10"/>
        <v>/</v>
      </c>
      <c r="N26" s="177"/>
      <c r="O26" s="176" t="str">
        <f t="shared" si="11"/>
        <v>,</v>
      </c>
      <c r="P26" s="177"/>
      <c r="Q26" s="176" t="str">
        <f t="shared" si="12"/>
        <v>/</v>
      </c>
      <c r="R26" s="177"/>
      <c r="S26" s="176" t="str">
        <f t="shared" si="13"/>
        <v>,</v>
      </c>
      <c r="T26" s="177"/>
      <c r="U26" s="176" t="str">
        <f t="shared" si="14"/>
        <v>/</v>
      </c>
      <c r="V26" s="177"/>
      <c r="W26" s="176" t="str">
        <f t="shared" si="15"/>
        <v>,</v>
      </c>
      <c r="X26" s="177"/>
      <c r="Y26" s="176" t="str">
        <f t="shared" si="16"/>
        <v>/</v>
      </c>
      <c r="Z26" s="177"/>
      <c r="AA26" s="176" t="str">
        <f t="shared" si="17"/>
        <v>,</v>
      </c>
      <c r="AB26" s="177"/>
      <c r="AC26" s="176" t="str">
        <f t="shared" si="18"/>
        <v>/</v>
      </c>
      <c r="AD26" s="177"/>
      <c r="AE26" s="176" t="str">
        <f t="shared" si="19"/>
        <v>,</v>
      </c>
      <c r="AF26" s="177"/>
      <c r="AG26" s="176" t="str">
        <f t="shared" si="20"/>
        <v>/</v>
      </c>
      <c r="AH26" s="177"/>
      <c r="AI26" s="176" t="str">
        <f t="shared" si="21"/>
        <v>,</v>
      </c>
      <c r="AJ26" s="177"/>
      <c r="AK26" s="178" t="str">
        <f t="shared" si="22"/>
        <v>/</v>
      </c>
      <c r="AL26" s="234"/>
      <c r="AM26" s="127" t="s">
        <v>72</v>
      </c>
      <c r="AN26" s="89"/>
      <c r="AO26" s="224"/>
      <c r="AP26" s="223"/>
      <c r="AQ26" s="223"/>
      <c r="AR26" s="223"/>
      <c r="AS26" s="223"/>
      <c r="AT26" s="223"/>
      <c r="AU26" s="223"/>
      <c r="AV26" s="223"/>
      <c r="AW26" s="223"/>
      <c r="AX26" s="117"/>
      <c r="AY26" s="63"/>
      <c r="AZ26" s="63"/>
      <c r="BB26" s="63"/>
      <c r="BC26" s="135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117" t="str">
        <f t="shared" si="0"/>
        <v/>
      </c>
      <c r="BR26" s="117" t="s">
        <v>38</v>
      </c>
      <c r="BS26" s="117">
        <v>248</v>
      </c>
      <c r="BT26" s="117">
        <v>248</v>
      </c>
      <c r="BU26" s="117"/>
      <c r="BV26" s="117"/>
      <c r="BW26" s="117"/>
      <c r="BX26" s="117">
        <v>1</v>
      </c>
      <c r="BY26" s="117"/>
      <c r="BZ26" s="117">
        <v>1</v>
      </c>
      <c r="CA26" s="117"/>
      <c r="CB26" s="117">
        <v>2</v>
      </c>
      <c r="CC26" s="117"/>
      <c r="CD26" s="117">
        <v>2</v>
      </c>
      <c r="CE26" s="117"/>
      <c r="CF26" s="117">
        <v>3</v>
      </c>
      <c r="CG26" s="117"/>
      <c r="CH26" s="117">
        <v>3</v>
      </c>
      <c r="CI26" s="117"/>
      <c r="CJ26" s="117">
        <v>4</v>
      </c>
      <c r="CK26" s="117"/>
      <c r="CL26" s="117">
        <v>4</v>
      </c>
      <c r="CM26" s="117"/>
      <c r="CN26" s="117">
        <v>5</v>
      </c>
      <c r="CO26" s="117"/>
      <c r="CP26" s="117">
        <v>5</v>
      </c>
      <c r="CQ26" s="117"/>
      <c r="CR26" s="117">
        <v>6</v>
      </c>
      <c r="CS26" s="117"/>
      <c r="CT26" s="117">
        <v>6</v>
      </c>
      <c r="CU26" s="117"/>
      <c r="CV26" s="117">
        <v>7</v>
      </c>
      <c r="CW26" s="117"/>
      <c r="CX26" s="117">
        <v>7</v>
      </c>
      <c r="CY26" s="117"/>
      <c r="CZ26" s="117">
        <v>8</v>
      </c>
      <c r="DA26" s="117"/>
      <c r="DB26" s="117">
        <v>8</v>
      </c>
    </row>
    <row r="27" spans="2:110" s="2" customFormat="1" ht="13.5" customHeight="1" thickBot="1" x14ac:dyDescent="0.25">
      <c r="B27" s="204"/>
      <c r="C27" s="205"/>
      <c r="D27" s="205"/>
      <c r="E27" s="205"/>
      <c r="F27" s="175"/>
      <c r="G27" s="176" t="str">
        <f t="shared" si="7"/>
        <v>,</v>
      </c>
      <c r="H27" s="177"/>
      <c r="I27" s="176" t="str">
        <f t="shared" si="8"/>
        <v>/</v>
      </c>
      <c r="J27" s="177"/>
      <c r="K27" s="176" t="str">
        <f t="shared" si="9"/>
        <v>,</v>
      </c>
      <c r="L27" s="177"/>
      <c r="M27" s="176" t="str">
        <f t="shared" si="10"/>
        <v>/</v>
      </c>
      <c r="N27" s="177"/>
      <c r="O27" s="176" t="str">
        <f t="shared" si="11"/>
        <v>,</v>
      </c>
      <c r="P27" s="177"/>
      <c r="Q27" s="176" t="str">
        <f t="shared" si="12"/>
        <v>/</v>
      </c>
      <c r="R27" s="177"/>
      <c r="S27" s="176" t="str">
        <f t="shared" si="13"/>
        <v>,</v>
      </c>
      <c r="T27" s="177"/>
      <c r="U27" s="176" t="str">
        <f t="shared" si="14"/>
        <v>/</v>
      </c>
      <c r="V27" s="177"/>
      <c r="W27" s="176" t="str">
        <f t="shared" si="15"/>
        <v>,</v>
      </c>
      <c r="X27" s="177"/>
      <c r="Y27" s="176" t="str">
        <f t="shared" si="16"/>
        <v>/</v>
      </c>
      <c r="Z27" s="177"/>
      <c r="AA27" s="176" t="str">
        <f t="shared" si="17"/>
        <v>,</v>
      </c>
      <c r="AB27" s="177"/>
      <c r="AC27" s="176" t="str">
        <f t="shared" si="18"/>
        <v>/</v>
      </c>
      <c r="AD27" s="177"/>
      <c r="AE27" s="176" t="str">
        <f t="shared" si="19"/>
        <v>,</v>
      </c>
      <c r="AF27" s="177"/>
      <c r="AG27" s="176" t="str">
        <f t="shared" si="20"/>
        <v>/</v>
      </c>
      <c r="AH27" s="177"/>
      <c r="AI27" s="176" t="str">
        <f t="shared" si="21"/>
        <v>,</v>
      </c>
      <c r="AJ27" s="177"/>
      <c r="AK27" s="178" t="str">
        <f t="shared" si="22"/>
        <v>/</v>
      </c>
      <c r="AL27" s="147"/>
      <c r="AM27" s="89" t="s">
        <v>73</v>
      </c>
      <c r="AN27" s="142"/>
      <c r="AO27" s="134"/>
      <c r="AP27" s="148"/>
      <c r="AQ27" s="148"/>
      <c r="AR27" s="134"/>
      <c r="AS27" s="134"/>
      <c r="AT27" s="134"/>
      <c r="AU27" s="134"/>
      <c r="AV27" s="134"/>
      <c r="AW27" s="61"/>
      <c r="AX27" s="61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117" t="str">
        <f t="shared" si="0"/>
        <v/>
      </c>
      <c r="BR27" s="61" t="s">
        <v>38</v>
      </c>
      <c r="BS27" s="117">
        <v>268</v>
      </c>
      <c r="BT27" s="117">
        <v>268</v>
      </c>
      <c r="BU27" s="61"/>
      <c r="BV27" s="61"/>
      <c r="BW27" s="61"/>
      <c r="BX27" s="117">
        <f>BX26+8</f>
        <v>9</v>
      </c>
      <c r="BY27" s="117"/>
      <c r="BZ27" s="117">
        <f>BZ26+8</f>
        <v>9</v>
      </c>
      <c r="CA27" s="117"/>
      <c r="CB27" s="117">
        <f>CB26+8</f>
        <v>10</v>
      </c>
      <c r="CC27" s="117"/>
      <c r="CD27" s="117">
        <f>CD26+8</f>
        <v>10</v>
      </c>
      <c r="CE27" s="117"/>
      <c r="CF27" s="117">
        <f>CF26+8</f>
        <v>11</v>
      </c>
      <c r="CG27" s="117"/>
      <c r="CH27" s="117">
        <f>CH26+8</f>
        <v>11</v>
      </c>
      <c r="CI27" s="117"/>
      <c r="CJ27" s="117">
        <f>CJ26+8</f>
        <v>12</v>
      </c>
      <c r="CK27" s="117"/>
      <c r="CL27" s="117">
        <f>CL26+8</f>
        <v>12</v>
      </c>
      <c r="CM27" s="117"/>
      <c r="CN27" s="117">
        <f>CN26+8</f>
        <v>13</v>
      </c>
      <c r="CO27" s="117"/>
      <c r="CP27" s="117">
        <f>CP26+8</f>
        <v>13</v>
      </c>
      <c r="CQ27" s="117"/>
      <c r="CR27" s="117">
        <f>CR26+8</f>
        <v>14</v>
      </c>
      <c r="CS27" s="117"/>
      <c r="CT27" s="117">
        <f>CT26+8</f>
        <v>14</v>
      </c>
      <c r="CU27" s="117"/>
      <c r="CV27" s="117">
        <f>CV26+8</f>
        <v>15</v>
      </c>
      <c r="CW27" s="117"/>
      <c r="CX27" s="117">
        <f>CX26+8</f>
        <v>15</v>
      </c>
      <c r="CY27" s="117"/>
      <c r="CZ27" s="117">
        <f>CZ26+8</f>
        <v>16</v>
      </c>
      <c r="DA27" s="117"/>
      <c r="DB27" s="117">
        <f>DB26+8</f>
        <v>16</v>
      </c>
    </row>
    <row r="28" spans="2:110" ht="13.5" customHeight="1" thickBot="1" x14ac:dyDescent="0.25">
      <c r="B28" s="204"/>
      <c r="C28" s="205"/>
      <c r="D28" s="205"/>
      <c r="E28" s="205"/>
      <c r="F28" s="175"/>
      <c r="G28" s="176" t="str">
        <f t="shared" si="7"/>
        <v>,</v>
      </c>
      <c r="H28" s="177"/>
      <c r="I28" s="176" t="str">
        <f t="shared" si="8"/>
        <v>/</v>
      </c>
      <c r="J28" s="177"/>
      <c r="K28" s="176" t="str">
        <f t="shared" si="9"/>
        <v>,</v>
      </c>
      <c r="L28" s="177"/>
      <c r="M28" s="176" t="str">
        <f t="shared" si="10"/>
        <v>/</v>
      </c>
      <c r="N28" s="177"/>
      <c r="O28" s="176" t="str">
        <f t="shared" si="11"/>
        <v>,</v>
      </c>
      <c r="P28" s="177"/>
      <c r="Q28" s="176" t="str">
        <f t="shared" si="12"/>
        <v>/</v>
      </c>
      <c r="R28" s="177"/>
      <c r="S28" s="176" t="str">
        <f t="shared" si="13"/>
        <v>,</v>
      </c>
      <c r="T28" s="177"/>
      <c r="U28" s="176" t="str">
        <f t="shared" si="14"/>
        <v>/</v>
      </c>
      <c r="V28" s="177"/>
      <c r="W28" s="176" t="str">
        <f t="shared" si="15"/>
        <v>,</v>
      </c>
      <c r="X28" s="177"/>
      <c r="Y28" s="176" t="str">
        <f t="shared" si="16"/>
        <v>/</v>
      </c>
      <c r="Z28" s="177"/>
      <c r="AA28" s="176" t="str">
        <f t="shared" si="17"/>
        <v>,</v>
      </c>
      <c r="AB28" s="177"/>
      <c r="AC28" s="176" t="str">
        <f t="shared" si="18"/>
        <v>/</v>
      </c>
      <c r="AD28" s="177"/>
      <c r="AE28" s="176" t="str">
        <f t="shared" si="19"/>
        <v>,</v>
      </c>
      <c r="AF28" s="177"/>
      <c r="AG28" s="176" t="str">
        <f t="shared" si="20"/>
        <v>/</v>
      </c>
      <c r="AH28" s="177"/>
      <c r="AI28" s="176" t="str">
        <f t="shared" si="21"/>
        <v>,</v>
      </c>
      <c r="AJ28" s="177"/>
      <c r="AK28" s="178" t="str">
        <f t="shared" si="22"/>
        <v>/</v>
      </c>
      <c r="AL28" s="102"/>
      <c r="AM28" s="89" t="s">
        <v>74</v>
      </c>
      <c r="AN28" s="31"/>
      <c r="AO28" s="31"/>
      <c r="AP28" s="31"/>
      <c r="AQ28" s="32"/>
      <c r="AR28" s="139"/>
      <c r="AS28" s="130"/>
      <c r="AT28" s="130"/>
      <c r="AU28" s="130"/>
      <c r="AV28" s="116"/>
      <c r="AW28" s="116"/>
      <c r="AX28" s="116"/>
      <c r="AY28" s="118" t="str">
        <f>IF($U$15="x",$AJ$23*2,$AJ$23)</f>
        <v/>
      </c>
      <c r="AZ28" s="118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117" t="str">
        <f t="shared" si="0"/>
        <v/>
      </c>
      <c r="BR28" s="117" t="s">
        <v>38</v>
      </c>
      <c r="BS28" s="117">
        <v>278</v>
      </c>
      <c r="BT28" s="117">
        <v>278</v>
      </c>
      <c r="BU28" s="117"/>
      <c r="BV28" s="117"/>
      <c r="BW28" s="117"/>
      <c r="BX28" s="117">
        <f>BX27+8</f>
        <v>17</v>
      </c>
      <c r="BY28" s="117"/>
      <c r="BZ28" s="117">
        <f>BZ27+8</f>
        <v>17</v>
      </c>
      <c r="CA28" s="117"/>
      <c r="CB28" s="117">
        <f>CB27+8</f>
        <v>18</v>
      </c>
      <c r="CC28" s="117"/>
      <c r="CD28" s="117">
        <f>CD27+8</f>
        <v>18</v>
      </c>
      <c r="CE28" s="117"/>
      <c r="CF28" s="117">
        <f>CF27+8</f>
        <v>19</v>
      </c>
      <c r="CG28" s="117"/>
      <c r="CH28" s="117">
        <f>CH27+8</f>
        <v>19</v>
      </c>
      <c r="CI28" s="117"/>
      <c r="CJ28" s="117">
        <f>CJ27+8</f>
        <v>20</v>
      </c>
      <c r="CK28" s="117"/>
      <c r="CL28" s="117">
        <f>CL27+8</f>
        <v>20</v>
      </c>
      <c r="CM28" s="117"/>
      <c r="CN28" s="117">
        <f>CN27+8</f>
        <v>21</v>
      </c>
      <c r="CO28" s="117"/>
      <c r="CP28" s="117">
        <f>CP27+8</f>
        <v>21</v>
      </c>
      <c r="CQ28" s="117"/>
      <c r="CR28" s="117">
        <f>CR27+8</f>
        <v>22</v>
      </c>
      <c r="CS28" s="117"/>
      <c r="CT28" s="117">
        <f>CT27+8</f>
        <v>22</v>
      </c>
      <c r="CU28" s="117"/>
      <c r="CV28" s="117">
        <f>CV27+8</f>
        <v>23</v>
      </c>
      <c r="CW28" s="117"/>
      <c r="CX28" s="117">
        <f>CX27+8</f>
        <v>23</v>
      </c>
      <c r="CY28" s="117"/>
      <c r="CZ28" s="117">
        <f>CZ27+8</f>
        <v>24</v>
      </c>
      <c r="DA28" s="117"/>
      <c r="DB28" s="117">
        <f>DB27+8</f>
        <v>24</v>
      </c>
    </row>
    <row r="29" spans="2:110" ht="13.5" customHeight="1" thickBot="1" x14ac:dyDescent="0.25">
      <c r="B29" s="206"/>
      <c r="C29" s="207"/>
      <c r="D29" s="207"/>
      <c r="E29" s="207"/>
      <c r="F29" s="179"/>
      <c r="G29" s="176" t="str">
        <f t="shared" si="7"/>
        <v>,</v>
      </c>
      <c r="H29" s="180"/>
      <c r="I29" s="176" t="str">
        <f t="shared" si="8"/>
        <v>/</v>
      </c>
      <c r="J29" s="180"/>
      <c r="K29" s="176" t="str">
        <f t="shared" si="9"/>
        <v>,</v>
      </c>
      <c r="L29" s="180"/>
      <c r="M29" s="176" t="str">
        <f t="shared" si="10"/>
        <v>/</v>
      </c>
      <c r="N29" s="180"/>
      <c r="O29" s="176" t="str">
        <f t="shared" si="11"/>
        <v>,</v>
      </c>
      <c r="P29" s="180"/>
      <c r="Q29" s="176" t="str">
        <f t="shared" si="12"/>
        <v>/</v>
      </c>
      <c r="R29" s="180"/>
      <c r="S29" s="176" t="str">
        <f t="shared" si="13"/>
        <v>,</v>
      </c>
      <c r="T29" s="180"/>
      <c r="U29" s="176" t="str">
        <f t="shared" si="14"/>
        <v>/</v>
      </c>
      <c r="V29" s="180"/>
      <c r="W29" s="176" t="str">
        <f t="shared" si="15"/>
        <v>,</v>
      </c>
      <c r="X29" s="180"/>
      <c r="Y29" s="176" t="str">
        <f t="shared" si="16"/>
        <v>/</v>
      </c>
      <c r="Z29" s="180"/>
      <c r="AA29" s="176" t="str">
        <f t="shared" si="17"/>
        <v>,</v>
      </c>
      <c r="AB29" s="180"/>
      <c r="AC29" s="176" t="str">
        <f t="shared" si="18"/>
        <v>/</v>
      </c>
      <c r="AD29" s="180"/>
      <c r="AE29" s="176" t="str">
        <f t="shared" si="19"/>
        <v>,</v>
      </c>
      <c r="AF29" s="180"/>
      <c r="AG29" s="176" t="str">
        <f t="shared" si="20"/>
        <v>/</v>
      </c>
      <c r="AH29" s="180"/>
      <c r="AI29" s="176" t="str">
        <f t="shared" si="21"/>
        <v>,</v>
      </c>
      <c r="AJ29" s="180"/>
      <c r="AK29" s="178" t="str">
        <f t="shared" si="22"/>
        <v>/</v>
      </c>
      <c r="AL29" s="234"/>
      <c r="AM29" s="89" t="s">
        <v>75</v>
      </c>
      <c r="AN29" s="224" t="str">
        <f>CONCATENATE(AO29,AP29,AQ29,AR29,AS29,AT29,AU29,AV29)</f>
        <v/>
      </c>
      <c r="AO29" s="223" t="str">
        <f>CONCATENATE(F32,G32,H32,I32,J32,K32,L32,M32,N32,O32,P32,Q32,R32,S32,T32,U32,V32,W32,X32,Y32,Z32,AA32,AB32,AC32,AD32,AE32,AF32,AG32,AH32,AI32)</f>
        <v/>
      </c>
      <c r="AP29" s="223" t="str">
        <f>CONCATENATE(AJ32,AK32,F33,G33,H33,I33,J33,K33,L33,M33,N33,O33,P33,Q33,R33,S33,T33,U33,V33,W33,X33,Y33,Z33,AA33,AB33)</f>
        <v/>
      </c>
      <c r="AQ29" s="223" t="str">
        <f>CONCATENATE(AC33,AD33,AE33,AF33,AG33,AH33,AI33,AJ33,AK33,F34,G34,H34,I34,J34,K34,L34,M34,N34,O34,P34,Q34,R34)</f>
        <v/>
      </c>
      <c r="AR29" s="223" t="str">
        <f>CONCATENATE(S34,T34,U34,V34,W34,X34,Y34,Z34,AA34,AB34,AC34,AD34,AE34,AF34,AG34,AH34,AI34,AJ34,AK34,F35,G35,H35,I35,J35,K35)</f>
        <v/>
      </c>
      <c r="AS29" s="223" t="str">
        <f>CONCATENATE(L35,M35,N35,O35,P35,Q35,R35,S35,T35,U35,V35,W35,X35,Y35,Z35,AA35,AB35,AC35,AD35,AE35,AF35,AG35,AH35,AI35,AJ35,AK35)</f>
        <v/>
      </c>
      <c r="AT29" s="223" t="str">
        <f>CONCATENATE(F36,G36,H36,I36,J36,K36,L36,M36,N36,O36,P36,Q36,R36,S36,T36,U36,V36,W36,X36,Y36,Z36,AA36,AB36,AC36,AD36,AE36)</f>
        <v/>
      </c>
      <c r="AU29" s="223" t="str">
        <f>CONCATENATE(AF36,AG36,AH36,AI36,AJ36,AK36,F37,G37,H37,I37,J37,K37,L37,M37,N37,O37,P37,Q37,R37,S37,T37,U37,V37,W37,X37,Y37)</f>
        <v/>
      </c>
      <c r="AV29" s="223" t="str">
        <f>CONCATENATE(Z37,AA37,AB37,AC37,AD37,AE37,AF37,AG37,AH37,AI37,AJ37,AK37)</f>
        <v/>
      </c>
      <c r="AW29" s="117"/>
      <c r="AX29" s="117"/>
      <c r="AY29" s="63"/>
      <c r="AZ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117" t="str">
        <f t="shared" si="0"/>
        <v/>
      </c>
      <c r="BR29" s="117" t="s">
        <v>38</v>
      </c>
      <c r="BS29" s="117">
        <v>287</v>
      </c>
      <c r="BT29" s="117">
        <v>287</v>
      </c>
      <c r="BU29" s="117"/>
      <c r="BV29" s="117"/>
      <c r="BW29" s="117"/>
      <c r="BX29" s="117">
        <f>BX28+8</f>
        <v>25</v>
      </c>
      <c r="BY29" s="117"/>
      <c r="BZ29" s="117">
        <f>BZ28+8</f>
        <v>25</v>
      </c>
      <c r="CA29" s="117"/>
      <c r="CB29" s="117">
        <f>CB28+8</f>
        <v>26</v>
      </c>
      <c r="CC29" s="117"/>
      <c r="CD29" s="117">
        <f>CD28+8</f>
        <v>26</v>
      </c>
      <c r="CE29" s="117"/>
      <c r="CF29" s="117">
        <f>CF28+8</f>
        <v>27</v>
      </c>
      <c r="CG29" s="117"/>
      <c r="CH29" s="117">
        <f>CH28+8</f>
        <v>27</v>
      </c>
      <c r="CI29" s="117"/>
      <c r="CJ29" s="117">
        <f>CJ28+8</f>
        <v>28</v>
      </c>
      <c r="CK29" s="117"/>
      <c r="CL29" s="117">
        <f>CL28+8</f>
        <v>28</v>
      </c>
      <c r="CM29" s="117"/>
      <c r="CN29" s="117">
        <f>CN28+8</f>
        <v>29</v>
      </c>
      <c r="CO29" s="117"/>
      <c r="CP29" s="117">
        <f>CP28+8</f>
        <v>29</v>
      </c>
      <c r="CQ29" s="117"/>
      <c r="CR29" s="117">
        <f>CR28+8</f>
        <v>30</v>
      </c>
      <c r="CS29" s="117"/>
      <c r="CT29" s="117">
        <f>CT28+8</f>
        <v>30</v>
      </c>
      <c r="CU29" s="117"/>
      <c r="CV29" s="117">
        <f>CV28+8</f>
        <v>31</v>
      </c>
      <c r="CW29" s="117"/>
      <c r="CX29" s="117">
        <f>CX28+8</f>
        <v>31</v>
      </c>
      <c r="CY29" s="117"/>
      <c r="CZ29" s="117">
        <f>CZ28+8</f>
        <v>32</v>
      </c>
      <c r="DA29" s="117"/>
      <c r="DB29" s="117">
        <f>DB28+8</f>
        <v>32</v>
      </c>
    </row>
    <row r="30" spans="2:110" ht="6.75" customHeight="1" thickBot="1" x14ac:dyDescent="0.25">
      <c r="B30" s="181"/>
      <c r="C30" s="182"/>
      <c r="D30" s="182"/>
      <c r="E30" s="182"/>
      <c r="F30" s="182"/>
      <c r="G30" s="182"/>
      <c r="H30" s="183"/>
      <c r="I30" s="182"/>
      <c r="J30" s="183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4"/>
      <c r="AL30" s="234"/>
      <c r="AM30" s="89" t="s">
        <v>76</v>
      </c>
      <c r="AN30" s="224"/>
      <c r="AO30" s="223"/>
      <c r="AP30" s="223"/>
      <c r="AQ30" s="223"/>
      <c r="AR30" s="223"/>
      <c r="AS30" s="223"/>
      <c r="AT30" s="223"/>
      <c r="AU30" s="223"/>
      <c r="AV30" s="223"/>
      <c r="AW30" s="143"/>
      <c r="AX30" s="143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17" t="str">
        <f t="shared" si="0"/>
        <v/>
      </c>
      <c r="BR30" s="143" t="s">
        <v>38</v>
      </c>
      <c r="BS30" s="117">
        <v>296</v>
      </c>
      <c r="BT30" s="117">
        <v>296</v>
      </c>
      <c r="BU30" s="143"/>
      <c r="BV30" s="143"/>
      <c r="BW30" s="143"/>
      <c r="BX30" s="117">
        <f>BX29+8</f>
        <v>33</v>
      </c>
      <c r="BY30" s="117"/>
      <c r="BZ30" s="117">
        <f>BZ29+8</f>
        <v>33</v>
      </c>
      <c r="CA30" s="117"/>
      <c r="CB30" s="117">
        <f>CB29+8</f>
        <v>34</v>
      </c>
      <c r="CC30" s="117"/>
      <c r="CD30" s="117">
        <f>CD29+8</f>
        <v>34</v>
      </c>
      <c r="CE30" s="117"/>
      <c r="CF30" s="117">
        <f>CF29+8</f>
        <v>35</v>
      </c>
      <c r="CG30" s="117"/>
      <c r="CH30" s="117">
        <f>CH29+8</f>
        <v>35</v>
      </c>
      <c r="CI30" s="117"/>
      <c r="CJ30" s="117">
        <f>CJ29+8</f>
        <v>36</v>
      </c>
      <c r="CK30" s="117"/>
      <c r="CL30" s="117">
        <f>CL29+8</f>
        <v>36</v>
      </c>
      <c r="CM30" s="117"/>
      <c r="CN30" s="117">
        <f>CN29+8</f>
        <v>37</v>
      </c>
      <c r="CO30" s="117"/>
      <c r="CP30" s="117">
        <f>CP29+8</f>
        <v>37</v>
      </c>
      <c r="CQ30" s="117"/>
      <c r="CR30" s="117">
        <f>CR29+8</f>
        <v>38</v>
      </c>
      <c r="CS30" s="117"/>
      <c r="CT30" s="117">
        <f>CT29+8</f>
        <v>38</v>
      </c>
      <c r="CU30" s="117"/>
      <c r="CV30" s="117">
        <f>CV29+8</f>
        <v>39</v>
      </c>
      <c r="CW30" s="117"/>
      <c r="CX30" s="117">
        <f>CX29+8</f>
        <v>39</v>
      </c>
      <c r="CY30" s="117"/>
      <c r="CZ30" s="117">
        <f>CZ29+8</f>
        <v>40</v>
      </c>
      <c r="DA30" s="117"/>
      <c r="DB30" s="117">
        <f>DB29+8</f>
        <v>40</v>
      </c>
    </row>
    <row r="31" spans="2:110" ht="27" customHeight="1" thickBot="1" x14ac:dyDescent="0.25">
      <c r="B31" s="212" t="s">
        <v>144</v>
      </c>
      <c r="C31" s="213"/>
      <c r="D31" s="213"/>
      <c r="E31" s="214"/>
      <c r="F31" s="195"/>
      <c r="G31" s="196"/>
      <c r="H31" s="174"/>
      <c r="I31" s="217" t="s">
        <v>145</v>
      </c>
      <c r="J31" s="217"/>
      <c r="K31" s="217"/>
      <c r="L31" s="202"/>
      <c r="M31" s="197" t="s">
        <v>45</v>
      </c>
      <c r="N31" s="197"/>
      <c r="O31" s="239" t="s">
        <v>146</v>
      </c>
      <c r="P31" s="239"/>
      <c r="Q31" s="239"/>
      <c r="R31" s="239"/>
      <c r="S31" s="239"/>
      <c r="T31" s="197"/>
      <c r="U31" s="198"/>
      <c r="V31" s="202" t="s">
        <v>147</v>
      </c>
      <c r="W31" s="203"/>
      <c r="X31" s="203"/>
      <c r="Y31" s="203"/>
      <c r="Z31" s="203"/>
      <c r="AA31" s="197"/>
      <c r="AB31" s="197"/>
      <c r="AC31" s="276" t="s">
        <v>148</v>
      </c>
      <c r="AD31" s="276"/>
      <c r="AE31" s="276"/>
      <c r="AF31" s="276"/>
      <c r="AG31" s="276"/>
      <c r="AH31" s="276"/>
      <c r="AI31" s="276"/>
      <c r="AJ31" s="232"/>
      <c r="AK31" s="233"/>
      <c r="AL31" s="234"/>
      <c r="AM31" s="89" t="s">
        <v>77</v>
      </c>
      <c r="AN31" s="224"/>
      <c r="AO31" s="223"/>
      <c r="AP31" s="223"/>
      <c r="AQ31" s="223"/>
      <c r="AR31" s="223"/>
      <c r="AS31" s="223"/>
      <c r="AT31" s="223"/>
      <c r="AU31" s="223"/>
      <c r="AV31" s="223"/>
      <c r="AW31" s="117"/>
      <c r="AX31" s="117"/>
      <c r="AY31" s="63"/>
      <c r="AZ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117" t="str">
        <f t="shared" si="0"/>
        <v/>
      </c>
      <c r="BR31" s="117" t="s">
        <v>38</v>
      </c>
      <c r="BS31" s="117">
        <v>310</v>
      </c>
      <c r="BT31" s="117">
        <v>310</v>
      </c>
      <c r="BU31" s="117"/>
      <c r="BV31" s="117"/>
      <c r="BW31" s="117"/>
      <c r="BX31" s="117">
        <f>BX30+8</f>
        <v>41</v>
      </c>
      <c r="BY31" s="117"/>
      <c r="BZ31" s="117">
        <f>BZ30+8</f>
        <v>41</v>
      </c>
      <c r="CA31" s="117"/>
      <c r="CB31" s="117">
        <f>CB30+8</f>
        <v>42</v>
      </c>
      <c r="CC31" s="117"/>
      <c r="CD31" s="117">
        <f>CD30+8</f>
        <v>42</v>
      </c>
      <c r="CE31" s="117"/>
      <c r="CF31" s="117">
        <f>CF30+8</f>
        <v>43</v>
      </c>
      <c r="CG31" s="117"/>
      <c r="CH31" s="117">
        <f>CH30+8</f>
        <v>43</v>
      </c>
      <c r="CI31" s="117"/>
      <c r="CJ31" s="117">
        <f>CJ30+8</f>
        <v>44</v>
      </c>
      <c r="CK31" s="117"/>
      <c r="CL31" s="117">
        <f>CL30+8</f>
        <v>44</v>
      </c>
      <c r="CM31" s="117"/>
      <c r="CN31" s="117">
        <f>CN30+8</f>
        <v>45</v>
      </c>
      <c r="CO31" s="117"/>
      <c r="CP31" s="117">
        <f>CP30+8</f>
        <v>45</v>
      </c>
      <c r="CQ31" s="117"/>
      <c r="CR31" s="117">
        <f>CR30+8</f>
        <v>46</v>
      </c>
      <c r="CS31" s="117"/>
      <c r="CT31" s="117">
        <f>CT30+8</f>
        <v>46</v>
      </c>
      <c r="CU31" s="117"/>
      <c r="CV31" s="117">
        <f>CV30+8</f>
        <v>47</v>
      </c>
      <c r="CW31" s="117"/>
      <c r="CX31" s="117">
        <f>CX30+8</f>
        <v>47</v>
      </c>
      <c r="CY31" s="117"/>
      <c r="CZ31" s="117">
        <f>CZ30+8</f>
        <v>48</v>
      </c>
      <c r="DA31" s="117"/>
      <c r="DB31" s="117">
        <f>DB30+8</f>
        <v>48</v>
      </c>
    </row>
    <row r="32" spans="2:110" ht="13.5" customHeight="1" thickBot="1" x14ac:dyDescent="0.25">
      <c r="B32" s="204" t="s">
        <v>149</v>
      </c>
      <c r="C32" s="205"/>
      <c r="D32" s="205"/>
      <c r="E32" s="205"/>
      <c r="F32" s="175"/>
      <c r="G32" s="176" t="str">
        <f>IF($DB$9&gt;=BX10,",","")</f>
        <v/>
      </c>
      <c r="H32" s="177"/>
      <c r="I32" s="176" t="str">
        <f>IF($DB$9&gt;BZ10,"/","")</f>
        <v/>
      </c>
      <c r="J32" s="177"/>
      <c r="K32" s="176" t="str">
        <f>IF($DB$9&gt;=CB10,",","")</f>
        <v/>
      </c>
      <c r="L32" s="177"/>
      <c r="M32" s="185" t="str">
        <f>IF($DB$9&gt;CD10,"/","")</f>
        <v/>
      </c>
      <c r="N32" s="177"/>
      <c r="O32" s="176" t="str">
        <f>IF($DB$9&gt;=CF10,",","")</f>
        <v/>
      </c>
      <c r="P32" s="177"/>
      <c r="Q32" s="176" t="str">
        <f>IF($DB$9&gt;CH10,"/","")</f>
        <v/>
      </c>
      <c r="R32" s="177"/>
      <c r="S32" s="176" t="str">
        <f>IF($DB$9&gt;=CJ10,",","")</f>
        <v/>
      </c>
      <c r="T32" s="177"/>
      <c r="U32" s="176" t="str">
        <f>IF($DB$9&gt;CL10,"/","")</f>
        <v/>
      </c>
      <c r="V32" s="177"/>
      <c r="W32" s="176" t="str">
        <f>IF($DB$9&gt;=CN10,",","")</f>
        <v/>
      </c>
      <c r="X32" s="177"/>
      <c r="Y32" s="176" t="str">
        <f>IF($DB$9&gt;CP10,"/","")</f>
        <v/>
      </c>
      <c r="Z32" s="177"/>
      <c r="AA32" s="176" t="str">
        <f>IF($DB$9&gt;=CR10,",","")</f>
        <v/>
      </c>
      <c r="AB32" s="177"/>
      <c r="AC32" s="176" t="str">
        <f>IF($DB$9&gt;CT10,"/","")</f>
        <v/>
      </c>
      <c r="AD32" s="177"/>
      <c r="AE32" s="176" t="str">
        <f>IF($DB$9&gt;=CV10,",","")</f>
        <v/>
      </c>
      <c r="AF32" s="177"/>
      <c r="AG32" s="176" t="str">
        <f>IF($DB$9&gt;CX10,"/","")</f>
        <v/>
      </c>
      <c r="AH32" s="177"/>
      <c r="AI32" s="176" t="str">
        <f>IF($DB$9&gt;=CZ10,",","")</f>
        <v/>
      </c>
      <c r="AJ32" s="177"/>
      <c r="AK32" s="178" t="str">
        <f>IF($DB$9&gt;DB10,"/","")</f>
        <v/>
      </c>
      <c r="AL32" s="234"/>
      <c r="AM32" s="89" t="s">
        <v>60</v>
      </c>
      <c r="AN32" s="224"/>
      <c r="AO32" s="223"/>
      <c r="AP32" s="223"/>
      <c r="AQ32" s="223"/>
      <c r="AR32" s="223"/>
      <c r="AS32" s="223"/>
      <c r="AT32" s="223"/>
      <c r="AU32" s="223"/>
      <c r="AV32" s="223"/>
      <c r="AW32" s="117"/>
      <c r="AX32" s="117"/>
      <c r="AY32" s="63"/>
      <c r="AZ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117" t="str">
        <f t="shared" si="0"/>
        <v/>
      </c>
      <c r="BR32" s="117" t="s">
        <v>38</v>
      </c>
      <c r="BS32" s="117">
        <v>334</v>
      </c>
      <c r="BT32" s="117">
        <v>334</v>
      </c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</row>
    <row r="33" spans="2:106" ht="13.5" customHeight="1" thickBot="1" x14ac:dyDescent="0.25">
      <c r="B33" s="204"/>
      <c r="C33" s="205"/>
      <c r="D33" s="205"/>
      <c r="E33" s="205"/>
      <c r="F33" s="175"/>
      <c r="G33" s="176" t="str">
        <f>IF($DB$9&gt;=BX11,",","")</f>
        <v/>
      </c>
      <c r="H33" s="177"/>
      <c r="I33" s="176" t="str">
        <f>IF($DB$9&gt;BZ11,"/","")</f>
        <v/>
      </c>
      <c r="J33" s="177"/>
      <c r="K33" s="176" t="str">
        <f>IF($DB$9&gt;=CB11,",","")</f>
        <v/>
      </c>
      <c r="L33" s="177"/>
      <c r="M33" s="185" t="str">
        <f>IF($DB$9&gt;CD11,"/","")</f>
        <v/>
      </c>
      <c r="N33" s="177"/>
      <c r="O33" s="176" t="str">
        <f>IF($DB$9&gt;=CF11,",","")</f>
        <v/>
      </c>
      <c r="P33" s="177"/>
      <c r="Q33" s="176" t="str">
        <f>IF($DB$9&gt;CH11,"/","")</f>
        <v/>
      </c>
      <c r="R33" s="177"/>
      <c r="S33" s="176" t="str">
        <f>IF($DB$9&gt;=CJ11,",","")</f>
        <v/>
      </c>
      <c r="T33" s="177"/>
      <c r="U33" s="176" t="str">
        <f>IF($DB$9&gt;CL11,"/","")</f>
        <v/>
      </c>
      <c r="V33" s="177"/>
      <c r="W33" s="176" t="str">
        <f>IF($DB$9&gt;=CN11,",","")</f>
        <v/>
      </c>
      <c r="X33" s="177"/>
      <c r="Y33" s="176" t="str">
        <f>IF($DB$9&gt;CP11,"/","")</f>
        <v/>
      </c>
      <c r="Z33" s="177"/>
      <c r="AA33" s="176" t="str">
        <f>IF($DB$9&gt;=CR11,",","")</f>
        <v/>
      </c>
      <c r="AB33" s="177"/>
      <c r="AC33" s="176" t="str">
        <f>IF($DB$9&gt;CT11,"/","")</f>
        <v/>
      </c>
      <c r="AD33" s="177"/>
      <c r="AE33" s="176" t="str">
        <f>IF($DB$9&gt;=CV11,",","")</f>
        <v/>
      </c>
      <c r="AF33" s="177"/>
      <c r="AG33" s="176" t="str">
        <f>IF($DB$9&gt;CX11,"/","")</f>
        <v/>
      </c>
      <c r="AH33" s="177"/>
      <c r="AI33" s="176" t="str">
        <f>IF($DB$9&gt;=CZ11,",","")</f>
        <v/>
      </c>
      <c r="AJ33" s="177"/>
      <c r="AK33" s="178" t="str">
        <f>IF($DB$9&gt;DB11,"/","")</f>
        <v/>
      </c>
      <c r="AL33" s="234"/>
      <c r="AM33" s="92" t="s">
        <v>78</v>
      </c>
      <c r="AN33" s="224"/>
      <c r="AO33" s="223"/>
      <c r="AP33" s="223"/>
      <c r="AQ33" s="223"/>
      <c r="AR33" s="223"/>
      <c r="AS33" s="223"/>
      <c r="AT33" s="223"/>
      <c r="AU33" s="223"/>
      <c r="AV33" s="223"/>
      <c r="AW33" s="117"/>
      <c r="AX33" s="117"/>
      <c r="AY33" s="63"/>
      <c r="AZ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117" t="str">
        <f t="shared" si="0"/>
        <v/>
      </c>
      <c r="BR33" s="117" t="s">
        <v>38</v>
      </c>
      <c r="BS33" s="117">
        <v>350</v>
      </c>
      <c r="BT33" s="117">
        <v>350</v>
      </c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</row>
    <row r="34" spans="2:106" ht="13.5" customHeight="1" thickBot="1" x14ac:dyDescent="0.25">
      <c r="B34" s="204"/>
      <c r="C34" s="205"/>
      <c r="D34" s="205"/>
      <c r="E34" s="205"/>
      <c r="F34" s="175"/>
      <c r="G34" s="176" t="str">
        <f t="shared" ref="G34:G37" si="23">IF($DB$9&gt;=BX12,",","")</f>
        <v/>
      </c>
      <c r="H34" s="177"/>
      <c r="I34" s="176" t="str">
        <f t="shared" ref="I34:I37" si="24">IF($DB$9&gt;BZ12,"/","")</f>
        <v/>
      </c>
      <c r="J34" s="177"/>
      <c r="K34" s="176" t="str">
        <f t="shared" ref="K34:K37" si="25">IF($DB$9&gt;=CB12,",","")</f>
        <v/>
      </c>
      <c r="L34" s="177"/>
      <c r="M34" s="176" t="str">
        <f t="shared" ref="M34:M37" si="26">IF($DB$9&gt;CD12,"/","")</f>
        <v/>
      </c>
      <c r="N34" s="177"/>
      <c r="O34" s="176" t="str">
        <f t="shared" ref="O34:O37" si="27">IF($DB$9&gt;=CF12,",","")</f>
        <v/>
      </c>
      <c r="P34" s="177"/>
      <c r="Q34" s="176" t="str">
        <f t="shared" ref="Q34:Q37" si="28">IF($DB$9&gt;CH12,"/","")</f>
        <v/>
      </c>
      <c r="R34" s="177"/>
      <c r="S34" s="176" t="str">
        <f t="shared" ref="S34:S37" si="29">IF($DB$9&gt;=CJ12,",","")</f>
        <v/>
      </c>
      <c r="T34" s="177"/>
      <c r="U34" s="176" t="str">
        <f t="shared" ref="U34:U37" si="30">IF($DB$9&gt;CL12,"/","")</f>
        <v/>
      </c>
      <c r="V34" s="177"/>
      <c r="W34" s="176" t="str">
        <f t="shared" ref="W34:W37" si="31">IF($DB$9&gt;=CN12,",","")</f>
        <v/>
      </c>
      <c r="X34" s="177"/>
      <c r="Y34" s="176" t="str">
        <f t="shared" ref="Y34:Y37" si="32">IF($DB$9&gt;CP12,"/","")</f>
        <v/>
      </c>
      <c r="Z34" s="177"/>
      <c r="AA34" s="176" t="str">
        <f t="shared" ref="AA34:AA37" si="33">IF($DB$9&gt;=CR12,",","")</f>
        <v/>
      </c>
      <c r="AB34" s="177"/>
      <c r="AC34" s="176" t="str">
        <f t="shared" ref="AC34:AC37" si="34">IF($DB$9&gt;CT12,"/","")</f>
        <v/>
      </c>
      <c r="AD34" s="177"/>
      <c r="AE34" s="176" t="str">
        <f t="shared" ref="AE34:AE37" si="35">IF($DB$9&gt;=CV12,",","")</f>
        <v/>
      </c>
      <c r="AF34" s="177"/>
      <c r="AG34" s="176" t="str">
        <f t="shared" ref="AG34:AG37" si="36">IF($DB$9&gt;CX12,"/","")</f>
        <v/>
      </c>
      <c r="AH34" s="177"/>
      <c r="AI34" s="176" t="str">
        <f t="shared" ref="AI34:AI37" si="37">IF($DB$9&gt;=CZ12,",","")</f>
        <v/>
      </c>
      <c r="AJ34" s="177"/>
      <c r="AK34" s="178" t="str">
        <f t="shared" ref="AK34:AK37" si="38">IF($DB$9&gt;DB12,"/","")</f>
        <v/>
      </c>
      <c r="AL34" s="234"/>
      <c r="AM34" s="127" t="s">
        <v>79</v>
      </c>
      <c r="AN34" s="224"/>
      <c r="AO34" s="223"/>
      <c r="AP34" s="223"/>
      <c r="AQ34" s="223"/>
      <c r="AR34" s="223"/>
      <c r="AS34" s="223"/>
      <c r="AT34" s="223"/>
      <c r="AU34" s="223"/>
      <c r="AV34" s="223"/>
      <c r="AW34" s="117"/>
      <c r="AX34" s="117"/>
      <c r="AY34" s="63"/>
      <c r="AZ34" s="63"/>
      <c r="BB34" s="135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117" t="str">
        <f t="shared" si="0"/>
        <v/>
      </c>
      <c r="BR34" s="117" t="s">
        <v>38</v>
      </c>
      <c r="BS34" s="117">
        <v>368</v>
      </c>
      <c r="BT34" s="117">
        <v>368</v>
      </c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</row>
    <row r="35" spans="2:106" s="2" customFormat="1" ht="13.5" customHeight="1" thickBot="1" x14ac:dyDescent="0.25">
      <c r="B35" s="204"/>
      <c r="C35" s="205"/>
      <c r="D35" s="205"/>
      <c r="E35" s="205"/>
      <c r="F35" s="175"/>
      <c r="G35" s="176" t="str">
        <f t="shared" si="23"/>
        <v/>
      </c>
      <c r="H35" s="177"/>
      <c r="I35" s="176" t="str">
        <f t="shared" si="24"/>
        <v/>
      </c>
      <c r="J35" s="177"/>
      <c r="K35" s="176" t="str">
        <f t="shared" si="25"/>
        <v/>
      </c>
      <c r="L35" s="177"/>
      <c r="M35" s="176" t="str">
        <f t="shared" si="26"/>
        <v/>
      </c>
      <c r="N35" s="177"/>
      <c r="O35" s="176" t="str">
        <f t="shared" si="27"/>
        <v/>
      </c>
      <c r="P35" s="177"/>
      <c r="Q35" s="176" t="str">
        <f t="shared" si="28"/>
        <v/>
      </c>
      <c r="R35" s="177"/>
      <c r="S35" s="176" t="str">
        <f t="shared" si="29"/>
        <v/>
      </c>
      <c r="T35" s="177"/>
      <c r="U35" s="176" t="str">
        <f t="shared" si="30"/>
        <v/>
      </c>
      <c r="V35" s="177"/>
      <c r="W35" s="176" t="str">
        <f t="shared" si="31"/>
        <v/>
      </c>
      <c r="X35" s="177"/>
      <c r="Y35" s="176" t="str">
        <f t="shared" si="32"/>
        <v/>
      </c>
      <c r="Z35" s="177"/>
      <c r="AA35" s="176" t="str">
        <f t="shared" si="33"/>
        <v/>
      </c>
      <c r="AB35" s="177"/>
      <c r="AC35" s="176" t="str">
        <f t="shared" si="34"/>
        <v/>
      </c>
      <c r="AD35" s="177"/>
      <c r="AE35" s="176" t="str">
        <f t="shared" si="35"/>
        <v/>
      </c>
      <c r="AF35" s="177"/>
      <c r="AG35" s="176" t="str">
        <f t="shared" si="36"/>
        <v/>
      </c>
      <c r="AH35" s="177"/>
      <c r="AI35" s="176" t="str">
        <f t="shared" si="37"/>
        <v/>
      </c>
      <c r="AJ35" s="177"/>
      <c r="AK35" s="178" t="str">
        <f t="shared" si="38"/>
        <v/>
      </c>
      <c r="AL35" s="147"/>
      <c r="AM35" s="89" t="s">
        <v>80</v>
      </c>
      <c r="AN35" s="141"/>
      <c r="AO35" s="133"/>
      <c r="AP35" s="133"/>
      <c r="AQ35" s="133"/>
      <c r="AR35" s="134"/>
      <c r="AS35" s="134"/>
      <c r="AT35" s="134"/>
      <c r="AU35" s="134"/>
      <c r="AV35" s="134"/>
      <c r="AW35" s="61"/>
      <c r="AX35" s="61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117" t="str">
        <f t="shared" si="0"/>
        <v/>
      </c>
      <c r="BR35" s="61" t="s">
        <v>38</v>
      </c>
      <c r="BS35" s="149">
        <v>487</v>
      </c>
      <c r="BT35" s="149">
        <v>487</v>
      </c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</row>
    <row r="36" spans="2:106" ht="13.5" customHeight="1" thickBot="1" x14ac:dyDescent="0.25">
      <c r="B36" s="204"/>
      <c r="C36" s="205"/>
      <c r="D36" s="205"/>
      <c r="E36" s="205"/>
      <c r="F36" s="175"/>
      <c r="G36" s="176" t="str">
        <f t="shared" si="23"/>
        <v/>
      </c>
      <c r="H36" s="177"/>
      <c r="I36" s="176" t="str">
        <f t="shared" si="24"/>
        <v/>
      </c>
      <c r="J36" s="177"/>
      <c r="K36" s="176" t="str">
        <f t="shared" si="25"/>
        <v/>
      </c>
      <c r="L36" s="177"/>
      <c r="M36" s="176" t="str">
        <f t="shared" si="26"/>
        <v/>
      </c>
      <c r="N36" s="177"/>
      <c r="O36" s="176" t="str">
        <f t="shared" si="27"/>
        <v/>
      </c>
      <c r="P36" s="177"/>
      <c r="Q36" s="176" t="str">
        <f t="shared" si="28"/>
        <v/>
      </c>
      <c r="R36" s="177"/>
      <c r="S36" s="176" t="str">
        <f t="shared" si="29"/>
        <v/>
      </c>
      <c r="T36" s="177"/>
      <c r="U36" s="176" t="str">
        <f t="shared" si="30"/>
        <v/>
      </c>
      <c r="V36" s="177"/>
      <c r="W36" s="176" t="str">
        <f t="shared" si="31"/>
        <v/>
      </c>
      <c r="X36" s="177"/>
      <c r="Y36" s="176" t="str">
        <f t="shared" si="32"/>
        <v/>
      </c>
      <c r="Z36" s="177"/>
      <c r="AA36" s="176" t="str">
        <f t="shared" si="33"/>
        <v/>
      </c>
      <c r="AB36" s="177"/>
      <c r="AC36" s="176" t="str">
        <f t="shared" si="34"/>
        <v/>
      </c>
      <c r="AD36" s="177"/>
      <c r="AE36" s="176" t="str">
        <f t="shared" si="35"/>
        <v/>
      </c>
      <c r="AF36" s="177"/>
      <c r="AG36" s="176" t="str">
        <f t="shared" si="36"/>
        <v/>
      </c>
      <c r="AH36" s="177"/>
      <c r="AI36" s="176" t="str">
        <f t="shared" si="37"/>
        <v/>
      </c>
      <c r="AJ36" s="177"/>
      <c r="AK36" s="178" t="str">
        <f t="shared" si="38"/>
        <v/>
      </c>
      <c r="AL36" s="102"/>
      <c r="AM36" s="89"/>
      <c r="AN36" s="31"/>
      <c r="AO36" s="31"/>
      <c r="AP36" s="31"/>
      <c r="AQ36" s="32"/>
      <c r="AR36" s="139"/>
      <c r="AS36" s="130"/>
      <c r="AT36" s="130"/>
      <c r="AU36" s="130"/>
      <c r="AV36" s="116"/>
      <c r="AW36" s="116"/>
      <c r="AX36" s="116"/>
      <c r="AY36" s="118"/>
      <c r="AZ36" s="118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117" t="str">
        <f t="shared" si="0"/>
        <v/>
      </c>
      <c r="BR36" s="117" t="s">
        <v>38</v>
      </c>
      <c r="BS36" s="149">
        <v>512</v>
      </c>
      <c r="BT36" s="149">
        <v>512</v>
      </c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</row>
    <row r="37" spans="2:106" ht="13.5" customHeight="1" thickBot="1" x14ac:dyDescent="0.25">
      <c r="B37" s="206"/>
      <c r="C37" s="207"/>
      <c r="D37" s="207"/>
      <c r="E37" s="207"/>
      <c r="F37" s="175"/>
      <c r="G37" s="176" t="str">
        <f t="shared" si="23"/>
        <v/>
      </c>
      <c r="H37" s="177"/>
      <c r="I37" s="176" t="str">
        <f t="shared" si="24"/>
        <v/>
      </c>
      <c r="J37" s="177"/>
      <c r="K37" s="176" t="str">
        <f t="shared" si="25"/>
        <v/>
      </c>
      <c r="L37" s="177"/>
      <c r="M37" s="176" t="str">
        <f t="shared" si="26"/>
        <v/>
      </c>
      <c r="N37" s="177"/>
      <c r="O37" s="176" t="str">
        <f t="shared" si="27"/>
        <v/>
      </c>
      <c r="P37" s="177"/>
      <c r="Q37" s="176" t="str">
        <f t="shared" si="28"/>
        <v/>
      </c>
      <c r="R37" s="177"/>
      <c r="S37" s="176" t="str">
        <f t="shared" si="29"/>
        <v/>
      </c>
      <c r="T37" s="177"/>
      <c r="U37" s="176" t="str">
        <f t="shared" si="30"/>
        <v/>
      </c>
      <c r="V37" s="177"/>
      <c r="W37" s="176" t="str">
        <f t="shared" si="31"/>
        <v/>
      </c>
      <c r="X37" s="177"/>
      <c r="Y37" s="176" t="str">
        <f t="shared" si="32"/>
        <v/>
      </c>
      <c r="Z37" s="177"/>
      <c r="AA37" s="176" t="str">
        <f t="shared" si="33"/>
        <v/>
      </c>
      <c r="AB37" s="177"/>
      <c r="AC37" s="176" t="str">
        <f t="shared" si="34"/>
        <v/>
      </c>
      <c r="AD37" s="177"/>
      <c r="AE37" s="176" t="str">
        <f t="shared" si="35"/>
        <v/>
      </c>
      <c r="AF37" s="177"/>
      <c r="AG37" s="176" t="str">
        <f t="shared" si="36"/>
        <v/>
      </c>
      <c r="AH37" s="177"/>
      <c r="AI37" s="176" t="str">
        <f t="shared" si="37"/>
        <v/>
      </c>
      <c r="AJ37" s="177"/>
      <c r="AK37" s="178" t="str">
        <f t="shared" si="38"/>
        <v/>
      </c>
      <c r="AL37" s="234"/>
      <c r="AM37" s="89"/>
      <c r="AN37" s="224" t="str">
        <f>CONCATENATE(AO37,AP37,AQ37,AR37,AS37,AT37,AU37,AV37)</f>
        <v/>
      </c>
      <c r="AO37" s="223" t="str">
        <f>CONCATENATE(F40,G40,H40,I40,J40,K40,L40,M40,N40,O40,P40,Q40,R40,S40,T40,U40,V40,W40,X40,Y40,Z40,AA40,AB40,AC40,AD40,AE40,AF40,AG40,AH40,AI40)</f>
        <v/>
      </c>
      <c r="AP37" s="223" t="str">
        <f>CONCATENATE(AJ40,AK40,F41,G41,H41,I41,J41,K41,L41,M41,N41,O41,P41,Q41,R41,S41,T41,U41,V41,W41,X41,Y41,Z41,AA41,AB41)</f>
        <v/>
      </c>
      <c r="AQ37" s="223" t="str">
        <f>CONCATENATE(AC41,AD41,AE41,AF41,AG41,AH41,AI41,AJ41,AK41,F42,G42,H42,I42,J42,K42,L42,M42,N42,O42,P42,Q42,R42)</f>
        <v/>
      </c>
      <c r="AR37" s="223" t="str">
        <f>CONCATENATE(S42,T42,U42,V42,W42,X42,Y42,Z42,AA42,AB42,AC42,AD42,AE42,AF42,AG42,AH42,AI42,AJ42,AK42,F43,G43,H43,I43,J43,K43)</f>
        <v/>
      </c>
      <c r="AS37" s="223" t="str">
        <f>CONCATENATE(L43,M43,N43,O43,P43,Q43,R43,S43,T43,U43,V43,W43,X43,Y43,Z43,AA43,AB43,AC43,AD43,AE43,AF43,AG43,AH43,AI43,AJ43,AK43)</f>
        <v/>
      </c>
      <c r="AT37" s="223" t="str">
        <f>CONCATENATE(F44,G44,H44,I44,J44,K44,L44,M44,N44,O44,P44,Q44,R44,S44,T44,U44,V44,W44,X44,Y44,Z44,AA44,AB44,AC44,AD44,AE44)</f>
        <v/>
      </c>
      <c r="AU37" s="223" t="str">
        <f>CONCATENATE(AF44,AG44,AH44,AI44,AJ44,AK44,F45,G45,H45,I45,J45,K45,L45,M45,N45,O45,P45,Q45,R45,S45,T45,U45,V45,W45,X45,Y45)</f>
        <v/>
      </c>
      <c r="AV37" s="223" t="str">
        <f>CONCATENATE(Z45,AA45,AB45,AC45,AD45,AE45,AF45,AG45,AH45,AI45,AJ45,AK45)</f>
        <v/>
      </c>
      <c r="AW37" s="117"/>
      <c r="AX37" s="117"/>
      <c r="AY37" s="63"/>
      <c r="AZ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117" t="str">
        <f t="shared" si="0"/>
        <v/>
      </c>
      <c r="BR37" s="117" t="s">
        <v>38</v>
      </c>
      <c r="BS37" s="149">
        <v>532</v>
      </c>
      <c r="BT37" s="149">
        <v>532</v>
      </c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</row>
    <row r="38" spans="2:106" ht="6.75" customHeight="1" thickBot="1" x14ac:dyDescent="0.25">
      <c r="B38" s="181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6"/>
      <c r="AL38" s="234"/>
      <c r="AM38" s="89"/>
      <c r="AN38" s="224"/>
      <c r="AO38" s="223"/>
      <c r="AP38" s="223"/>
      <c r="AQ38" s="223"/>
      <c r="AR38" s="223"/>
      <c r="AS38" s="223"/>
      <c r="AT38" s="223"/>
      <c r="AU38" s="223"/>
      <c r="AV38" s="223"/>
      <c r="AW38" s="143"/>
      <c r="AX38" s="143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17" t="str">
        <f t="shared" si="0"/>
        <v/>
      </c>
      <c r="BR38" s="143" t="s">
        <v>38</v>
      </c>
      <c r="BS38" s="149">
        <v>550</v>
      </c>
      <c r="BT38" s="149">
        <v>550</v>
      </c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</row>
    <row r="39" spans="2:106" ht="27" customHeight="1" thickBot="1" x14ac:dyDescent="0.25">
      <c r="B39" s="212" t="s">
        <v>144</v>
      </c>
      <c r="C39" s="213"/>
      <c r="D39" s="213"/>
      <c r="E39" s="214"/>
      <c r="F39" s="195"/>
      <c r="G39" s="196"/>
      <c r="H39" s="174"/>
      <c r="I39" s="217" t="s">
        <v>145</v>
      </c>
      <c r="J39" s="217"/>
      <c r="K39" s="217"/>
      <c r="L39" s="202"/>
      <c r="M39" s="197"/>
      <c r="N39" s="197"/>
      <c r="O39" s="239" t="s">
        <v>146</v>
      </c>
      <c r="P39" s="239"/>
      <c r="Q39" s="239"/>
      <c r="R39" s="239"/>
      <c r="S39" s="239"/>
      <c r="T39" s="197"/>
      <c r="U39" s="198"/>
      <c r="V39" s="202" t="s">
        <v>147</v>
      </c>
      <c r="W39" s="203"/>
      <c r="X39" s="203"/>
      <c r="Y39" s="203"/>
      <c r="Z39" s="203"/>
      <c r="AA39" s="197"/>
      <c r="AB39" s="197"/>
      <c r="AC39" s="231" t="s">
        <v>148</v>
      </c>
      <c r="AD39" s="231"/>
      <c r="AE39" s="231"/>
      <c r="AF39" s="231"/>
      <c r="AG39" s="231"/>
      <c r="AH39" s="231"/>
      <c r="AI39" s="231"/>
      <c r="AJ39" s="232"/>
      <c r="AK39" s="233"/>
      <c r="AL39" s="234"/>
      <c r="AM39" s="89"/>
      <c r="AN39" s="224"/>
      <c r="AO39" s="223"/>
      <c r="AP39" s="223"/>
      <c r="AQ39" s="223"/>
      <c r="AR39" s="223"/>
      <c r="AS39" s="223"/>
      <c r="AT39" s="223"/>
      <c r="AU39" s="223"/>
      <c r="AV39" s="223"/>
      <c r="AW39" s="117"/>
      <c r="AX39" s="117"/>
      <c r="AY39" s="63"/>
      <c r="AZ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117" t="str">
        <f t="shared" si="0"/>
        <v/>
      </c>
      <c r="BR39" s="117" t="s">
        <v>38</v>
      </c>
      <c r="BS39" s="149">
        <v>583</v>
      </c>
      <c r="BT39" s="149">
        <v>583</v>
      </c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</row>
    <row r="40" spans="2:106" ht="13.5" customHeight="1" thickBot="1" x14ac:dyDescent="0.25">
      <c r="B40" s="204" t="s">
        <v>149</v>
      </c>
      <c r="C40" s="205"/>
      <c r="D40" s="205"/>
      <c r="E40" s="205"/>
      <c r="F40" s="175"/>
      <c r="G40" s="176" t="str">
        <f t="shared" ref="G40:G45" si="39">IF($DB$17&gt;=BX18,",","")</f>
        <v/>
      </c>
      <c r="H40" s="177"/>
      <c r="I40" s="176" t="str">
        <f t="shared" ref="I40:I45" si="40">IF($DB$17&gt;BZ18,"/","")</f>
        <v/>
      </c>
      <c r="J40" s="175"/>
      <c r="K40" s="176" t="str">
        <f t="shared" ref="K40:K45" si="41">IF($DB$17&gt;=CB18,",","")</f>
        <v/>
      </c>
      <c r="L40" s="177"/>
      <c r="M40" s="176" t="str">
        <f t="shared" ref="M40:M45" si="42">IF($DB$17&gt;CD18,"/","")</f>
        <v/>
      </c>
      <c r="N40" s="175"/>
      <c r="O40" s="176" t="str">
        <f t="shared" ref="O40:O45" si="43">IF($DB$17&gt;=CF18,",","")</f>
        <v/>
      </c>
      <c r="P40" s="177"/>
      <c r="Q40" s="176" t="str">
        <f t="shared" ref="Q40:Q45" si="44">IF($DB$17&gt;CH18,"/","")</f>
        <v/>
      </c>
      <c r="R40" s="175"/>
      <c r="S40" s="176" t="str">
        <f t="shared" ref="S40:S45" si="45">IF($DB$17&gt;=CJ18,",","")</f>
        <v/>
      </c>
      <c r="T40" s="177"/>
      <c r="U40" s="176" t="str">
        <f t="shared" ref="U40:U45" si="46">IF($DB$17&gt;CL18,"/","")</f>
        <v/>
      </c>
      <c r="V40" s="175"/>
      <c r="W40" s="176" t="str">
        <f t="shared" ref="W40:W45" si="47">IF($DB$17&gt;=CN18,",","")</f>
        <v/>
      </c>
      <c r="X40" s="177"/>
      <c r="Y40" s="176" t="str">
        <f t="shared" ref="Y40:Y45" si="48">IF($DB$17&gt;CP18,"/","")</f>
        <v/>
      </c>
      <c r="Z40" s="175"/>
      <c r="AA40" s="176" t="str">
        <f t="shared" ref="AA40:AA45" si="49">IF($DB$17&gt;=CR18,",","")</f>
        <v/>
      </c>
      <c r="AB40" s="177"/>
      <c r="AC40" s="176" t="str">
        <f t="shared" ref="AC40:AC45" si="50">IF($DB$17&gt;CT18,"/","")</f>
        <v/>
      </c>
      <c r="AD40" s="175"/>
      <c r="AE40" s="176" t="str">
        <f t="shared" ref="AE40:AE45" si="51">IF($DB$17&gt;=CV18,",","")</f>
        <v/>
      </c>
      <c r="AF40" s="177"/>
      <c r="AG40" s="176" t="str">
        <f t="shared" ref="AG40:AG45" si="52">IF($DB$17&gt;CX18,"/","")</f>
        <v/>
      </c>
      <c r="AH40" s="175"/>
      <c r="AI40" s="176" t="str">
        <f t="shared" ref="AI40:AI45" si="53">IF($DB$17&gt;=CZ18,",","")</f>
        <v/>
      </c>
      <c r="AJ40" s="177"/>
      <c r="AK40" s="178" t="str">
        <f t="shared" ref="AK40:AK45" si="54">IF($DB$17&gt;DB18,"/","")</f>
        <v/>
      </c>
      <c r="AL40" s="234"/>
      <c r="AM40" s="89"/>
      <c r="AN40" s="224"/>
      <c r="AO40" s="223"/>
      <c r="AP40" s="223"/>
      <c r="AQ40" s="223"/>
      <c r="AR40" s="223"/>
      <c r="AS40" s="223"/>
      <c r="AT40" s="223"/>
      <c r="AU40" s="223"/>
      <c r="AV40" s="223"/>
      <c r="AW40" s="117"/>
      <c r="AX40" s="117"/>
      <c r="AY40" s="63"/>
      <c r="AZ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117" t="str">
        <f t="shared" si="0"/>
        <v/>
      </c>
      <c r="BR40" s="117" t="s">
        <v>38</v>
      </c>
      <c r="BS40" s="149">
        <v>616</v>
      </c>
      <c r="BT40" s="149">
        <v>616</v>
      </c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</row>
    <row r="41" spans="2:106" ht="13.5" customHeight="1" thickBot="1" x14ac:dyDescent="0.25">
      <c r="B41" s="204"/>
      <c r="C41" s="205"/>
      <c r="D41" s="205"/>
      <c r="E41" s="205"/>
      <c r="F41" s="175"/>
      <c r="G41" s="176" t="str">
        <f t="shared" si="39"/>
        <v/>
      </c>
      <c r="H41" s="177"/>
      <c r="I41" s="176" t="str">
        <f t="shared" si="40"/>
        <v/>
      </c>
      <c r="J41" s="175"/>
      <c r="K41" s="176" t="str">
        <f t="shared" si="41"/>
        <v/>
      </c>
      <c r="L41" s="177"/>
      <c r="M41" s="176" t="str">
        <f t="shared" si="42"/>
        <v/>
      </c>
      <c r="N41" s="175"/>
      <c r="O41" s="176" t="str">
        <f t="shared" si="43"/>
        <v/>
      </c>
      <c r="P41" s="177"/>
      <c r="Q41" s="176" t="str">
        <f t="shared" si="44"/>
        <v/>
      </c>
      <c r="R41" s="175"/>
      <c r="S41" s="176" t="str">
        <f t="shared" si="45"/>
        <v/>
      </c>
      <c r="T41" s="177"/>
      <c r="U41" s="176" t="str">
        <f t="shared" si="46"/>
        <v/>
      </c>
      <c r="V41" s="175"/>
      <c r="W41" s="176" t="str">
        <f t="shared" si="47"/>
        <v/>
      </c>
      <c r="X41" s="177"/>
      <c r="Y41" s="176" t="str">
        <f t="shared" si="48"/>
        <v/>
      </c>
      <c r="Z41" s="175"/>
      <c r="AA41" s="176" t="str">
        <f t="shared" si="49"/>
        <v/>
      </c>
      <c r="AB41" s="177"/>
      <c r="AC41" s="176" t="str">
        <f t="shared" si="50"/>
        <v/>
      </c>
      <c r="AD41" s="175"/>
      <c r="AE41" s="176" t="str">
        <f t="shared" si="51"/>
        <v/>
      </c>
      <c r="AF41" s="177"/>
      <c r="AG41" s="176" t="str">
        <f t="shared" si="52"/>
        <v/>
      </c>
      <c r="AH41" s="175"/>
      <c r="AI41" s="176" t="str">
        <f t="shared" si="53"/>
        <v/>
      </c>
      <c r="AJ41" s="177"/>
      <c r="AK41" s="178" t="str">
        <f t="shared" si="54"/>
        <v/>
      </c>
      <c r="AL41" s="234"/>
      <c r="AM41" s="150"/>
      <c r="AN41" s="224"/>
      <c r="AO41" s="223"/>
      <c r="AP41" s="223"/>
      <c r="AQ41" s="223"/>
      <c r="AR41" s="223"/>
      <c r="AS41" s="223"/>
      <c r="AT41" s="223"/>
      <c r="AU41" s="223"/>
      <c r="AV41" s="223"/>
      <c r="AW41" s="117"/>
      <c r="AX41" s="117"/>
      <c r="AY41" s="63"/>
      <c r="AZ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117" t="str">
        <f t="shared" si="0"/>
        <v/>
      </c>
      <c r="BR41" s="117" t="s">
        <v>38</v>
      </c>
      <c r="BS41" s="149">
        <v>636</v>
      </c>
      <c r="BT41" s="149">
        <v>636</v>
      </c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</row>
    <row r="42" spans="2:106" ht="13.5" customHeight="1" thickBot="1" x14ac:dyDescent="0.25">
      <c r="B42" s="204"/>
      <c r="C42" s="205"/>
      <c r="D42" s="205"/>
      <c r="E42" s="205"/>
      <c r="F42" s="175"/>
      <c r="G42" s="176" t="str">
        <f t="shared" si="39"/>
        <v/>
      </c>
      <c r="H42" s="177"/>
      <c r="I42" s="176" t="str">
        <f t="shared" si="40"/>
        <v/>
      </c>
      <c r="J42" s="175"/>
      <c r="K42" s="176" t="str">
        <f t="shared" si="41"/>
        <v/>
      </c>
      <c r="L42" s="177"/>
      <c r="M42" s="176" t="str">
        <f t="shared" si="42"/>
        <v/>
      </c>
      <c r="N42" s="175"/>
      <c r="O42" s="176" t="str">
        <f t="shared" si="43"/>
        <v/>
      </c>
      <c r="P42" s="177"/>
      <c r="Q42" s="176" t="str">
        <f t="shared" si="44"/>
        <v/>
      </c>
      <c r="R42" s="175"/>
      <c r="S42" s="176" t="str">
        <f t="shared" si="45"/>
        <v/>
      </c>
      <c r="T42" s="177"/>
      <c r="U42" s="176" t="str">
        <f t="shared" si="46"/>
        <v/>
      </c>
      <c r="V42" s="175"/>
      <c r="W42" s="176" t="str">
        <f t="shared" si="47"/>
        <v/>
      </c>
      <c r="X42" s="177"/>
      <c r="Y42" s="176" t="str">
        <f t="shared" si="48"/>
        <v/>
      </c>
      <c r="Z42" s="175"/>
      <c r="AA42" s="176" t="str">
        <f t="shared" si="49"/>
        <v/>
      </c>
      <c r="AB42" s="177"/>
      <c r="AC42" s="176" t="str">
        <f t="shared" si="50"/>
        <v/>
      </c>
      <c r="AD42" s="175"/>
      <c r="AE42" s="176" t="str">
        <f t="shared" si="51"/>
        <v/>
      </c>
      <c r="AF42" s="177"/>
      <c r="AG42" s="176" t="str">
        <f t="shared" si="52"/>
        <v/>
      </c>
      <c r="AH42" s="175"/>
      <c r="AI42" s="176" t="str">
        <f t="shared" si="53"/>
        <v/>
      </c>
      <c r="AJ42" s="177"/>
      <c r="AK42" s="178" t="str">
        <f t="shared" si="54"/>
        <v/>
      </c>
      <c r="AL42" s="234"/>
      <c r="AM42" s="127"/>
      <c r="AN42" s="224"/>
      <c r="AO42" s="223"/>
      <c r="AP42" s="223"/>
      <c r="AQ42" s="223"/>
      <c r="AR42" s="223"/>
      <c r="AS42" s="223"/>
      <c r="AT42" s="223"/>
      <c r="AU42" s="223"/>
      <c r="AV42" s="223"/>
      <c r="AW42" s="117"/>
      <c r="AX42" s="117"/>
      <c r="AY42" s="63"/>
      <c r="AZ42" s="63"/>
      <c r="BB42" s="135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117" t="str">
        <f t="shared" si="0"/>
        <v/>
      </c>
      <c r="BR42" s="117" t="s">
        <v>38</v>
      </c>
      <c r="BS42" s="149">
        <v>728</v>
      </c>
      <c r="BT42" s="149">
        <v>728</v>
      </c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</row>
    <row r="43" spans="2:106" s="2" customFormat="1" ht="13.5" customHeight="1" thickBot="1" x14ac:dyDescent="0.25">
      <c r="B43" s="204"/>
      <c r="C43" s="205"/>
      <c r="D43" s="205"/>
      <c r="E43" s="205"/>
      <c r="F43" s="175"/>
      <c r="G43" s="176" t="str">
        <f t="shared" si="39"/>
        <v/>
      </c>
      <c r="H43" s="177"/>
      <c r="I43" s="176" t="str">
        <f t="shared" si="40"/>
        <v/>
      </c>
      <c r="J43" s="175"/>
      <c r="K43" s="176" t="str">
        <f t="shared" si="41"/>
        <v/>
      </c>
      <c r="L43" s="177"/>
      <c r="M43" s="176" t="str">
        <f t="shared" si="42"/>
        <v/>
      </c>
      <c r="N43" s="175"/>
      <c r="O43" s="176" t="str">
        <f t="shared" si="43"/>
        <v/>
      </c>
      <c r="P43" s="177"/>
      <c r="Q43" s="176" t="str">
        <f t="shared" si="44"/>
        <v/>
      </c>
      <c r="R43" s="175"/>
      <c r="S43" s="176" t="str">
        <f t="shared" si="45"/>
        <v/>
      </c>
      <c r="T43" s="177"/>
      <c r="U43" s="176" t="str">
        <f t="shared" si="46"/>
        <v/>
      </c>
      <c r="V43" s="175"/>
      <c r="W43" s="176" t="str">
        <f t="shared" si="47"/>
        <v/>
      </c>
      <c r="X43" s="177"/>
      <c r="Y43" s="176" t="str">
        <f t="shared" si="48"/>
        <v/>
      </c>
      <c r="Z43" s="175"/>
      <c r="AA43" s="176" t="str">
        <f t="shared" si="49"/>
        <v/>
      </c>
      <c r="AB43" s="177"/>
      <c r="AC43" s="176" t="str">
        <f t="shared" si="50"/>
        <v/>
      </c>
      <c r="AD43" s="175"/>
      <c r="AE43" s="176" t="str">
        <f t="shared" si="51"/>
        <v/>
      </c>
      <c r="AF43" s="177"/>
      <c r="AG43" s="176" t="str">
        <f t="shared" si="52"/>
        <v/>
      </c>
      <c r="AH43" s="175"/>
      <c r="AI43" s="176" t="str">
        <f t="shared" si="53"/>
        <v/>
      </c>
      <c r="AJ43" s="177"/>
      <c r="AK43" s="178" t="str">
        <f t="shared" si="54"/>
        <v/>
      </c>
      <c r="AL43" s="147"/>
      <c r="AM43" s="89"/>
      <c r="AN43" s="141"/>
      <c r="AO43" s="133"/>
      <c r="AP43" s="133"/>
      <c r="AQ43" s="133"/>
      <c r="AR43" s="134"/>
      <c r="AS43" s="134"/>
      <c r="AT43" s="134"/>
      <c r="AU43" s="134"/>
      <c r="AV43" s="134"/>
      <c r="AW43" s="61"/>
      <c r="AX43" s="61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</row>
    <row r="44" spans="2:106" ht="13.5" customHeight="1" thickBot="1" x14ac:dyDescent="0.25">
      <c r="B44" s="204"/>
      <c r="C44" s="205"/>
      <c r="D44" s="205"/>
      <c r="E44" s="205"/>
      <c r="F44" s="175"/>
      <c r="G44" s="176" t="str">
        <f t="shared" si="39"/>
        <v/>
      </c>
      <c r="H44" s="177"/>
      <c r="I44" s="176" t="str">
        <f t="shared" si="40"/>
        <v/>
      </c>
      <c r="J44" s="175"/>
      <c r="K44" s="176" t="str">
        <f t="shared" si="41"/>
        <v/>
      </c>
      <c r="L44" s="177"/>
      <c r="M44" s="176" t="str">
        <f t="shared" si="42"/>
        <v/>
      </c>
      <c r="N44" s="175"/>
      <c r="O44" s="176" t="str">
        <f t="shared" si="43"/>
        <v/>
      </c>
      <c r="P44" s="177"/>
      <c r="Q44" s="176" t="str">
        <f t="shared" si="44"/>
        <v/>
      </c>
      <c r="R44" s="175"/>
      <c r="S44" s="176" t="str">
        <f t="shared" si="45"/>
        <v/>
      </c>
      <c r="T44" s="177"/>
      <c r="U44" s="176" t="str">
        <f t="shared" si="46"/>
        <v/>
      </c>
      <c r="V44" s="175"/>
      <c r="W44" s="176" t="str">
        <f t="shared" si="47"/>
        <v/>
      </c>
      <c r="X44" s="177"/>
      <c r="Y44" s="176" t="str">
        <f t="shared" si="48"/>
        <v/>
      </c>
      <c r="Z44" s="175"/>
      <c r="AA44" s="176" t="str">
        <f t="shared" si="49"/>
        <v/>
      </c>
      <c r="AB44" s="177"/>
      <c r="AC44" s="176" t="str">
        <f t="shared" si="50"/>
        <v/>
      </c>
      <c r="AD44" s="175"/>
      <c r="AE44" s="176" t="str">
        <f t="shared" si="51"/>
        <v/>
      </c>
      <c r="AF44" s="177"/>
      <c r="AG44" s="176" t="str">
        <f t="shared" si="52"/>
        <v/>
      </c>
      <c r="AH44" s="175"/>
      <c r="AI44" s="176" t="str">
        <f t="shared" si="53"/>
        <v/>
      </c>
      <c r="AJ44" s="177"/>
      <c r="AK44" s="178" t="str">
        <f t="shared" si="54"/>
        <v/>
      </c>
      <c r="AL44" s="102"/>
      <c r="AM44" s="89"/>
      <c r="AN44" s="31"/>
      <c r="AO44" s="31"/>
      <c r="AP44" s="31"/>
      <c r="AQ44" s="32"/>
      <c r="AR44" s="139"/>
      <c r="AS44" s="130"/>
      <c r="AT44" s="130"/>
      <c r="AU44" s="130"/>
      <c r="AV44" s="116"/>
      <c r="AW44" s="116"/>
      <c r="AX44" s="116"/>
      <c r="AY44" s="118"/>
      <c r="AZ44" s="118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</row>
    <row r="45" spans="2:106" ht="13.5" customHeight="1" thickBot="1" x14ac:dyDescent="0.25">
      <c r="B45" s="206"/>
      <c r="C45" s="207"/>
      <c r="D45" s="207"/>
      <c r="E45" s="207"/>
      <c r="F45" s="175"/>
      <c r="G45" s="176" t="str">
        <f t="shared" si="39"/>
        <v/>
      </c>
      <c r="H45" s="177"/>
      <c r="I45" s="176" t="str">
        <f t="shared" si="40"/>
        <v/>
      </c>
      <c r="J45" s="175"/>
      <c r="K45" s="176" t="str">
        <f t="shared" si="41"/>
        <v/>
      </c>
      <c r="L45" s="177"/>
      <c r="M45" s="176" t="str">
        <f t="shared" si="42"/>
        <v/>
      </c>
      <c r="N45" s="175"/>
      <c r="O45" s="176" t="str">
        <f t="shared" si="43"/>
        <v/>
      </c>
      <c r="P45" s="177"/>
      <c r="Q45" s="176" t="str">
        <f t="shared" si="44"/>
        <v/>
      </c>
      <c r="R45" s="175"/>
      <c r="S45" s="176" t="str">
        <f t="shared" si="45"/>
        <v/>
      </c>
      <c r="T45" s="177"/>
      <c r="U45" s="176" t="str">
        <f t="shared" si="46"/>
        <v/>
      </c>
      <c r="V45" s="175"/>
      <c r="W45" s="176" t="str">
        <f t="shared" si="47"/>
        <v/>
      </c>
      <c r="X45" s="177"/>
      <c r="Y45" s="176" t="str">
        <f t="shared" si="48"/>
        <v/>
      </c>
      <c r="Z45" s="175"/>
      <c r="AA45" s="176" t="str">
        <f t="shared" si="49"/>
        <v/>
      </c>
      <c r="AB45" s="177"/>
      <c r="AC45" s="176" t="str">
        <f t="shared" si="50"/>
        <v/>
      </c>
      <c r="AD45" s="175"/>
      <c r="AE45" s="176" t="str">
        <f t="shared" si="51"/>
        <v/>
      </c>
      <c r="AF45" s="177"/>
      <c r="AG45" s="176" t="str">
        <f t="shared" si="52"/>
        <v/>
      </c>
      <c r="AH45" s="175"/>
      <c r="AI45" s="176" t="str">
        <f t="shared" si="53"/>
        <v/>
      </c>
      <c r="AJ45" s="177"/>
      <c r="AK45" s="178" t="str">
        <f t="shared" si="54"/>
        <v/>
      </c>
      <c r="AL45" s="234"/>
      <c r="AM45" s="89"/>
      <c r="AN45" s="224" t="str">
        <f>CONCATENATE(AO45,AP45,AQ45,AR45,AS45,AT45,AU45,AV45)</f>
        <v/>
      </c>
      <c r="AO45" s="223" t="str">
        <f>CONCATENATE(F48,G48,H48,I48,J48,K48,L48,M48,N48,O48,P48,Q48,R48,S48,T48,U48,V48,W48,X48,Y48,Z48,AA48,AB48,AC48,AD48,AE48,AF48,AG48,AH48,AI48)</f>
        <v/>
      </c>
      <c r="AP45" s="223" t="str">
        <f>CONCATENATE(AJ48,AK48,F49,G49,H49,I49,J49,K49,L49,M49,N49,O49,P49,Q49,R49,S49,T49,U49,V49,W49,X49,Y49,Z49,AA49,AB49)</f>
        <v/>
      </c>
      <c r="AQ45" s="223" t="str">
        <f>CONCATENATE(AC49,AD49,AE49,AF49,AG49,AH49,AI49,AJ49,AK49,F50,G50,H50,I50,J50,K50,L50,M50,N50,O50,P50,Q50,R50)</f>
        <v/>
      </c>
      <c r="AR45" s="223" t="str">
        <f>CONCATENATE(S50,T50,U50,V50,W50,X50,Y50,Z50,AA50,AB50,AC50,AD50,AE50,AF50,AG50,AH50,AI50,AJ50,AK50,F51,G51,H51,I51,J51,K51)</f>
        <v/>
      </c>
      <c r="AS45" s="223" t="str">
        <f>CONCATENATE(L51,M51,N51,O51,P51,Q51,R51,S51,T51,U51,V51,W51,X51,Y51,Z51,AA51,AB51,AC51,AD51,AE51,AF51,AG51,AH51,AI51,AJ51,AK51)</f>
        <v/>
      </c>
      <c r="AT45" s="223" t="str">
        <f>CONCATENATE(F52,G52,H52,I52,J52,K52,L52,M52,N52,O52,P52,Q52,R52,S52,T52,U52,V52,W52,X52,Y52,Z52,AA52,AB52,AC52,AD52,AE52)</f>
        <v/>
      </c>
      <c r="AU45" s="223" t="str">
        <f>CONCATENATE(AF52,AG52,AH52,AI52,AJ52,AK52,F53,G53,H53,I53,J53,K53,L53,M53,N53,O53,P53,Q53,R53,S53,T53,U53,V53,W53,X53,Y53)</f>
        <v/>
      </c>
      <c r="AV45" s="223" t="str">
        <f>CONCATENATE(Z53,AA53,AB53,AC53,AD53,AE53,AF53,AG53,AH53,AI53,AJ53,AK53)</f>
        <v/>
      </c>
      <c r="AW45" s="117"/>
      <c r="AX45" s="117"/>
      <c r="AY45" s="63"/>
      <c r="AZ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</row>
    <row r="46" spans="2:106" ht="6" customHeight="1" thickBot="1" x14ac:dyDescent="0.25">
      <c r="B46" s="181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6"/>
      <c r="AL46" s="234"/>
      <c r="AM46" s="89"/>
      <c r="AN46" s="224"/>
      <c r="AO46" s="223"/>
      <c r="AP46" s="223"/>
      <c r="AQ46" s="223"/>
      <c r="AR46" s="223"/>
      <c r="AS46" s="223"/>
      <c r="AT46" s="223"/>
      <c r="AU46" s="223"/>
      <c r="AV46" s="223"/>
      <c r="AW46" s="143"/>
      <c r="AX46" s="143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</row>
    <row r="47" spans="2:106" ht="27" customHeight="1" thickBot="1" x14ac:dyDescent="0.25">
      <c r="B47" s="212" t="s">
        <v>144</v>
      </c>
      <c r="C47" s="213"/>
      <c r="D47" s="213"/>
      <c r="E47" s="214"/>
      <c r="F47" s="195"/>
      <c r="G47" s="196"/>
      <c r="H47" s="174"/>
      <c r="I47" s="217" t="s">
        <v>145</v>
      </c>
      <c r="J47" s="217"/>
      <c r="K47" s="217"/>
      <c r="L47" s="202"/>
      <c r="M47" s="197"/>
      <c r="N47" s="197"/>
      <c r="O47" s="239" t="s">
        <v>146</v>
      </c>
      <c r="P47" s="239"/>
      <c r="Q47" s="239"/>
      <c r="R47" s="239"/>
      <c r="S47" s="239"/>
      <c r="T47" s="197"/>
      <c r="U47" s="198"/>
      <c r="V47" s="202" t="s">
        <v>147</v>
      </c>
      <c r="W47" s="203"/>
      <c r="X47" s="203"/>
      <c r="Y47" s="203"/>
      <c r="Z47" s="203"/>
      <c r="AA47" s="197"/>
      <c r="AB47" s="197"/>
      <c r="AC47" s="231" t="s">
        <v>148</v>
      </c>
      <c r="AD47" s="231"/>
      <c r="AE47" s="231"/>
      <c r="AF47" s="231"/>
      <c r="AG47" s="231"/>
      <c r="AH47" s="231"/>
      <c r="AI47" s="231"/>
      <c r="AJ47" s="232"/>
      <c r="AK47" s="233"/>
      <c r="AL47" s="234"/>
      <c r="AM47" s="89"/>
      <c r="AN47" s="224"/>
      <c r="AO47" s="223"/>
      <c r="AP47" s="223"/>
      <c r="AQ47" s="223"/>
      <c r="AR47" s="223"/>
      <c r="AS47" s="223"/>
      <c r="AT47" s="223"/>
      <c r="AU47" s="223"/>
      <c r="AV47" s="223"/>
      <c r="AW47" s="117"/>
      <c r="AX47" s="117"/>
      <c r="AY47" s="63"/>
      <c r="AZ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</row>
    <row r="48" spans="2:106" ht="13.5" customHeight="1" thickBot="1" x14ac:dyDescent="0.25">
      <c r="B48" s="204" t="s">
        <v>149</v>
      </c>
      <c r="C48" s="205"/>
      <c r="D48" s="205"/>
      <c r="E48" s="205"/>
      <c r="F48" s="175"/>
      <c r="G48" s="176" t="str">
        <f t="shared" ref="G48:G53" si="55">IF($DB$25&gt;=BX26,",","")</f>
        <v/>
      </c>
      <c r="H48" s="177"/>
      <c r="I48" s="176" t="str">
        <f t="shared" ref="I48:I53" si="56">IF($DB$25&gt;BZ26,"/","")</f>
        <v/>
      </c>
      <c r="J48" s="175"/>
      <c r="K48" s="176" t="str">
        <f t="shared" ref="K48:K53" si="57">IF($DB$25&gt;=CB26,",","")</f>
        <v/>
      </c>
      <c r="L48" s="177"/>
      <c r="M48" s="176" t="str">
        <f t="shared" ref="M48:M53" si="58">IF($DB$25&gt;CD26,"/","")</f>
        <v/>
      </c>
      <c r="N48" s="175"/>
      <c r="O48" s="176" t="str">
        <f t="shared" ref="O48:O53" si="59">IF($DB$25&gt;=CF26,",","")</f>
        <v/>
      </c>
      <c r="P48" s="177"/>
      <c r="Q48" s="176" t="str">
        <f t="shared" ref="Q48:Q53" si="60">IF($DB$25&gt;CH26,"/","")</f>
        <v/>
      </c>
      <c r="R48" s="175"/>
      <c r="S48" s="176" t="str">
        <f t="shared" ref="S48:S53" si="61">IF($DB$25&gt;=CJ26,",","")</f>
        <v/>
      </c>
      <c r="T48" s="177"/>
      <c r="U48" s="176" t="str">
        <f t="shared" ref="U48:U53" si="62">IF($DB$25&gt;CL26,"/","")</f>
        <v/>
      </c>
      <c r="V48" s="175"/>
      <c r="W48" s="176" t="str">
        <f t="shared" ref="W48:W53" si="63">IF($DB$25&gt;=CN26,",","")</f>
        <v/>
      </c>
      <c r="X48" s="177"/>
      <c r="Y48" s="176" t="str">
        <f t="shared" ref="Y48:Y53" si="64">IF($DB$25&gt;CP26,"/","")</f>
        <v/>
      </c>
      <c r="Z48" s="175"/>
      <c r="AA48" s="176" t="str">
        <f t="shared" ref="AA48:AA53" si="65">IF($DB$25&gt;=CR26,",","")</f>
        <v/>
      </c>
      <c r="AB48" s="177"/>
      <c r="AC48" s="176" t="str">
        <f t="shared" ref="AC48:AC53" si="66">IF($DB$25&gt;CT26,"/","")</f>
        <v/>
      </c>
      <c r="AD48" s="175"/>
      <c r="AE48" s="176" t="str">
        <f t="shared" ref="AE48:AE53" si="67">IF($DB$25&gt;=CV26,",","")</f>
        <v/>
      </c>
      <c r="AF48" s="177"/>
      <c r="AG48" s="176" t="str">
        <f t="shared" ref="AG48:AG53" si="68">IF($DB$25&gt;CX26,"/","")</f>
        <v/>
      </c>
      <c r="AH48" s="175"/>
      <c r="AI48" s="176" t="str">
        <f t="shared" ref="AI48:AI53" si="69">IF($DB$25&gt;=CZ26,",","")</f>
        <v/>
      </c>
      <c r="AJ48" s="177"/>
      <c r="AK48" s="178" t="str">
        <f t="shared" ref="AK48:AK53" si="70">IF($DB$25&gt;DB26,"/","")</f>
        <v/>
      </c>
      <c r="AL48" s="234"/>
      <c r="AM48" s="89"/>
      <c r="AN48" s="224"/>
      <c r="AO48" s="223"/>
      <c r="AP48" s="223"/>
      <c r="AQ48" s="223"/>
      <c r="AR48" s="223"/>
      <c r="AS48" s="223"/>
      <c r="AT48" s="223"/>
      <c r="AU48" s="223"/>
      <c r="AV48" s="223"/>
      <c r="AW48" s="117"/>
      <c r="AX48" s="117"/>
      <c r="AY48" s="63"/>
      <c r="AZ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</row>
    <row r="49" spans="2:106" ht="13.5" customHeight="1" thickBot="1" x14ac:dyDescent="0.25">
      <c r="B49" s="204"/>
      <c r="C49" s="205"/>
      <c r="D49" s="205"/>
      <c r="E49" s="205"/>
      <c r="F49" s="175"/>
      <c r="G49" s="176" t="str">
        <f t="shared" si="55"/>
        <v/>
      </c>
      <c r="H49" s="177"/>
      <c r="I49" s="176" t="str">
        <f t="shared" si="56"/>
        <v/>
      </c>
      <c r="J49" s="175"/>
      <c r="K49" s="176" t="str">
        <f t="shared" si="57"/>
        <v/>
      </c>
      <c r="L49" s="177"/>
      <c r="M49" s="176" t="str">
        <f t="shared" si="58"/>
        <v/>
      </c>
      <c r="N49" s="175"/>
      <c r="O49" s="176" t="str">
        <f t="shared" si="59"/>
        <v/>
      </c>
      <c r="P49" s="177"/>
      <c r="Q49" s="176" t="str">
        <f t="shared" si="60"/>
        <v/>
      </c>
      <c r="R49" s="175"/>
      <c r="S49" s="176" t="str">
        <f t="shared" si="61"/>
        <v/>
      </c>
      <c r="T49" s="177"/>
      <c r="U49" s="176" t="str">
        <f t="shared" si="62"/>
        <v/>
      </c>
      <c r="V49" s="175"/>
      <c r="W49" s="176" t="str">
        <f t="shared" si="63"/>
        <v/>
      </c>
      <c r="X49" s="177"/>
      <c r="Y49" s="176" t="str">
        <f t="shared" si="64"/>
        <v/>
      </c>
      <c r="Z49" s="175"/>
      <c r="AA49" s="176" t="str">
        <f t="shared" si="65"/>
        <v/>
      </c>
      <c r="AB49" s="177"/>
      <c r="AC49" s="176" t="str">
        <f t="shared" si="66"/>
        <v/>
      </c>
      <c r="AD49" s="175"/>
      <c r="AE49" s="176" t="str">
        <f t="shared" si="67"/>
        <v/>
      </c>
      <c r="AF49" s="177"/>
      <c r="AG49" s="176" t="str">
        <f t="shared" si="68"/>
        <v/>
      </c>
      <c r="AH49" s="175"/>
      <c r="AI49" s="176" t="str">
        <f t="shared" si="69"/>
        <v/>
      </c>
      <c r="AJ49" s="177"/>
      <c r="AK49" s="178" t="str">
        <f t="shared" si="70"/>
        <v/>
      </c>
      <c r="AL49" s="234"/>
      <c r="AM49" s="150"/>
      <c r="AN49" s="224"/>
      <c r="AO49" s="223"/>
      <c r="AP49" s="223"/>
      <c r="AQ49" s="223"/>
      <c r="AR49" s="223"/>
      <c r="AS49" s="223"/>
      <c r="AT49" s="223"/>
      <c r="AU49" s="223"/>
      <c r="AV49" s="223"/>
      <c r="AW49" s="117"/>
      <c r="AX49" s="117"/>
      <c r="AY49" s="63"/>
      <c r="AZ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</row>
    <row r="50" spans="2:106" ht="13.5" customHeight="1" thickBot="1" x14ac:dyDescent="0.25">
      <c r="B50" s="204"/>
      <c r="C50" s="205"/>
      <c r="D50" s="205"/>
      <c r="E50" s="205"/>
      <c r="F50" s="175"/>
      <c r="G50" s="176" t="str">
        <f t="shared" si="55"/>
        <v/>
      </c>
      <c r="H50" s="177"/>
      <c r="I50" s="176" t="str">
        <f t="shared" si="56"/>
        <v/>
      </c>
      <c r="J50" s="175"/>
      <c r="K50" s="176" t="str">
        <f t="shared" si="57"/>
        <v/>
      </c>
      <c r="L50" s="177"/>
      <c r="M50" s="176" t="str">
        <f t="shared" si="58"/>
        <v/>
      </c>
      <c r="N50" s="175"/>
      <c r="O50" s="176" t="str">
        <f t="shared" si="59"/>
        <v/>
      </c>
      <c r="P50" s="177"/>
      <c r="Q50" s="176" t="str">
        <f t="shared" si="60"/>
        <v/>
      </c>
      <c r="R50" s="175"/>
      <c r="S50" s="176" t="str">
        <f t="shared" si="61"/>
        <v/>
      </c>
      <c r="T50" s="177"/>
      <c r="U50" s="176" t="str">
        <f t="shared" si="62"/>
        <v/>
      </c>
      <c r="V50" s="175"/>
      <c r="W50" s="176" t="str">
        <f t="shared" si="63"/>
        <v/>
      </c>
      <c r="X50" s="177"/>
      <c r="Y50" s="176" t="str">
        <f t="shared" si="64"/>
        <v/>
      </c>
      <c r="Z50" s="175"/>
      <c r="AA50" s="176" t="str">
        <f t="shared" si="65"/>
        <v/>
      </c>
      <c r="AB50" s="177"/>
      <c r="AC50" s="176" t="str">
        <f t="shared" si="66"/>
        <v/>
      </c>
      <c r="AD50" s="175"/>
      <c r="AE50" s="176" t="str">
        <f t="shared" si="67"/>
        <v/>
      </c>
      <c r="AF50" s="177"/>
      <c r="AG50" s="176" t="str">
        <f t="shared" si="68"/>
        <v/>
      </c>
      <c r="AH50" s="175"/>
      <c r="AI50" s="176" t="str">
        <f t="shared" si="69"/>
        <v/>
      </c>
      <c r="AJ50" s="177"/>
      <c r="AK50" s="178" t="str">
        <f t="shared" si="70"/>
        <v/>
      </c>
      <c r="AL50" s="234"/>
      <c r="AM50" s="127"/>
      <c r="AN50" s="224"/>
      <c r="AO50" s="223"/>
      <c r="AP50" s="223"/>
      <c r="AQ50" s="223"/>
      <c r="AR50" s="223"/>
      <c r="AS50" s="223"/>
      <c r="AT50" s="223"/>
      <c r="AU50" s="223"/>
      <c r="AV50" s="223"/>
      <c r="AW50" s="117"/>
      <c r="AX50" s="117"/>
      <c r="AY50" s="63"/>
      <c r="AZ50" s="63"/>
      <c r="BB50" s="135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</row>
    <row r="51" spans="2:106" s="2" customFormat="1" ht="13.5" customHeight="1" thickBot="1" x14ac:dyDescent="0.25">
      <c r="B51" s="204"/>
      <c r="C51" s="205"/>
      <c r="D51" s="205"/>
      <c r="E51" s="205"/>
      <c r="F51" s="175"/>
      <c r="G51" s="176" t="str">
        <f t="shared" si="55"/>
        <v/>
      </c>
      <c r="H51" s="177"/>
      <c r="I51" s="176" t="str">
        <f t="shared" si="56"/>
        <v/>
      </c>
      <c r="J51" s="175"/>
      <c r="K51" s="176" t="str">
        <f t="shared" si="57"/>
        <v/>
      </c>
      <c r="L51" s="177"/>
      <c r="M51" s="176" t="str">
        <f t="shared" si="58"/>
        <v/>
      </c>
      <c r="N51" s="175"/>
      <c r="O51" s="176" t="str">
        <f t="shared" si="59"/>
        <v/>
      </c>
      <c r="P51" s="177"/>
      <c r="Q51" s="176" t="str">
        <f t="shared" si="60"/>
        <v/>
      </c>
      <c r="R51" s="175"/>
      <c r="S51" s="176" t="str">
        <f t="shared" si="61"/>
        <v/>
      </c>
      <c r="T51" s="177"/>
      <c r="U51" s="176" t="str">
        <f t="shared" si="62"/>
        <v/>
      </c>
      <c r="V51" s="175"/>
      <c r="W51" s="176" t="str">
        <f t="shared" si="63"/>
        <v/>
      </c>
      <c r="X51" s="177"/>
      <c r="Y51" s="176" t="str">
        <f t="shared" si="64"/>
        <v/>
      </c>
      <c r="Z51" s="175"/>
      <c r="AA51" s="176" t="str">
        <f t="shared" si="65"/>
        <v/>
      </c>
      <c r="AB51" s="177"/>
      <c r="AC51" s="176" t="str">
        <f t="shared" si="66"/>
        <v/>
      </c>
      <c r="AD51" s="175"/>
      <c r="AE51" s="176" t="str">
        <f t="shared" si="67"/>
        <v/>
      </c>
      <c r="AF51" s="177"/>
      <c r="AG51" s="176" t="str">
        <f t="shared" si="68"/>
        <v/>
      </c>
      <c r="AH51" s="175"/>
      <c r="AI51" s="176" t="str">
        <f t="shared" si="69"/>
        <v/>
      </c>
      <c r="AJ51" s="177"/>
      <c r="AK51" s="178" t="str">
        <f t="shared" si="70"/>
        <v/>
      </c>
      <c r="AL51" s="147"/>
      <c r="AM51" s="89"/>
      <c r="AN51" s="142"/>
      <c r="AO51" s="134"/>
      <c r="AP51" s="148"/>
      <c r="AQ51" s="148"/>
      <c r="AR51" s="134"/>
      <c r="AS51" s="134"/>
      <c r="AT51" s="134"/>
      <c r="AU51" s="134"/>
      <c r="AV51" s="134"/>
      <c r="AW51" s="61"/>
      <c r="AX51" s="61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</row>
    <row r="52" spans="2:106" ht="13.5" customHeight="1" thickBot="1" x14ac:dyDescent="0.25">
      <c r="B52" s="204"/>
      <c r="C52" s="205"/>
      <c r="D52" s="205"/>
      <c r="E52" s="205"/>
      <c r="F52" s="175"/>
      <c r="G52" s="176" t="str">
        <f t="shared" si="55"/>
        <v/>
      </c>
      <c r="H52" s="177"/>
      <c r="I52" s="176" t="str">
        <f t="shared" si="56"/>
        <v/>
      </c>
      <c r="J52" s="175"/>
      <c r="K52" s="176" t="str">
        <f t="shared" si="57"/>
        <v/>
      </c>
      <c r="L52" s="177"/>
      <c r="M52" s="176" t="str">
        <f t="shared" si="58"/>
        <v/>
      </c>
      <c r="N52" s="175"/>
      <c r="O52" s="176" t="str">
        <f t="shared" si="59"/>
        <v/>
      </c>
      <c r="P52" s="177"/>
      <c r="Q52" s="176" t="str">
        <f t="shared" si="60"/>
        <v/>
      </c>
      <c r="R52" s="175"/>
      <c r="S52" s="176" t="str">
        <f t="shared" si="61"/>
        <v/>
      </c>
      <c r="T52" s="177"/>
      <c r="U52" s="176" t="str">
        <f t="shared" si="62"/>
        <v/>
      </c>
      <c r="V52" s="175"/>
      <c r="W52" s="176" t="str">
        <f t="shared" si="63"/>
        <v/>
      </c>
      <c r="X52" s="177"/>
      <c r="Y52" s="176" t="str">
        <f t="shared" si="64"/>
        <v/>
      </c>
      <c r="Z52" s="175"/>
      <c r="AA52" s="176" t="str">
        <f t="shared" si="65"/>
        <v/>
      </c>
      <c r="AB52" s="177"/>
      <c r="AC52" s="176" t="str">
        <f t="shared" si="66"/>
        <v/>
      </c>
      <c r="AD52" s="175"/>
      <c r="AE52" s="176" t="str">
        <f t="shared" si="67"/>
        <v/>
      </c>
      <c r="AF52" s="177"/>
      <c r="AG52" s="176" t="str">
        <f t="shared" si="68"/>
        <v/>
      </c>
      <c r="AH52" s="175"/>
      <c r="AI52" s="176" t="str">
        <f t="shared" si="69"/>
        <v/>
      </c>
      <c r="AJ52" s="177"/>
      <c r="AK52" s="178" t="str">
        <f t="shared" si="70"/>
        <v/>
      </c>
      <c r="AL52" s="147"/>
      <c r="AM52" s="89"/>
      <c r="AN52" s="115"/>
      <c r="AO52" s="116"/>
      <c r="AP52" s="116"/>
      <c r="AQ52" s="116"/>
      <c r="AR52" s="116"/>
      <c r="AS52" s="116"/>
      <c r="AT52" s="116"/>
      <c r="AU52" s="116"/>
      <c r="AV52" s="116"/>
      <c r="AW52" s="117"/>
      <c r="AX52" s="117"/>
      <c r="AY52" s="63"/>
      <c r="AZ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</row>
    <row r="53" spans="2:106" ht="13.5" customHeight="1" thickBot="1" x14ac:dyDescent="0.25">
      <c r="B53" s="206"/>
      <c r="C53" s="207"/>
      <c r="D53" s="207"/>
      <c r="E53" s="207"/>
      <c r="F53" s="179"/>
      <c r="G53" s="187" t="str">
        <f t="shared" si="55"/>
        <v/>
      </c>
      <c r="H53" s="180"/>
      <c r="I53" s="187" t="str">
        <f t="shared" si="56"/>
        <v/>
      </c>
      <c r="J53" s="179"/>
      <c r="K53" s="187" t="str">
        <f t="shared" si="57"/>
        <v/>
      </c>
      <c r="L53" s="180"/>
      <c r="M53" s="187" t="str">
        <f t="shared" si="58"/>
        <v/>
      </c>
      <c r="N53" s="179"/>
      <c r="O53" s="187" t="str">
        <f t="shared" si="59"/>
        <v/>
      </c>
      <c r="P53" s="180"/>
      <c r="Q53" s="187" t="str">
        <f t="shared" si="60"/>
        <v/>
      </c>
      <c r="R53" s="179"/>
      <c r="S53" s="187" t="str">
        <f t="shared" si="61"/>
        <v/>
      </c>
      <c r="T53" s="180"/>
      <c r="U53" s="187" t="str">
        <f t="shared" si="62"/>
        <v/>
      </c>
      <c r="V53" s="179"/>
      <c r="W53" s="187" t="str">
        <f t="shared" si="63"/>
        <v/>
      </c>
      <c r="X53" s="180"/>
      <c r="Y53" s="187" t="str">
        <f t="shared" si="64"/>
        <v/>
      </c>
      <c r="Z53" s="179"/>
      <c r="AA53" s="187" t="str">
        <f t="shared" si="65"/>
        <v/>
      </c>
      <c r="AB53" s="180"/>
      <c r="AC53" s="187" t="str">
        <f t="shared" si="66"/>
        <v/>
      </c>
      <c r="AD53" s="179"/>
      <c r="AE53" s="187" t="str">
        <f t="shared" si="67"/>
        <v/>
      </c>
      <c r="AF53" s="180"/>
      <c r="AG53" s="187" t="str">
        <f t="shared" si="68"/>
        <v/>
      </c>
      <c r="AH53" s="179"/>
      <c r="AI53" s="187" t="str">
        <f t="shared" si="69"/>
        <v/>
      </c>
      <c r="AJ53" s="180"/>
      <c r="AK53" s="188" t="str">
        <f t="shared" si="70"/>
        <v/>
      </c>
      <c r="AL53" s="114"/>
      <c r="AM53" s="89"/>
      <c r="AN53" s="142"/>
      <c r="AO53" s="116"/>
      <c r="AP53" s="116"/>
      <c r="AQ53" s="116"/>
      <c r="AR53" s="116"/>
      <c r="AS53" s="116"/>
      <c r="AT53" s="116"/>
      <c r="AU53" s="116"/>
      <c r="AV53" s="116"/>
      <c r="AW53" s="117"/>
      <c r="AX53" s="117"/>
      <c r="AY53" s="63"/>
      <c r="AZ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</row>
    <row r="54" spans="2:106" ht="5.25" customHeight="1" x14ac:dyDescent="0.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73"/>
      <c r="AC54" s="6"/>
      <c r="AD54" s="6"/>
      <c r="AE54" s="6"/>
      <c r="AF54" s="6"/>
      <c r="AG54" s="6"/>
      <c r="AH54" s="6"/>
      <c r="AI54" s="6"/>
      <c r="AJ54" s="6"/>
      <c r="AK54" s="6"/>
      <c r="AL54" s="114"/>
      <c r="AM54" s="89"/>
      <c r="AN54" s="142"/>
      <c r="AO54" s="116"/>
      <c r="AP54" s="116"/>
      <c r="AQ54" s="116"/>
      <c r="AR54" s="116"/>
      <c r="AS54" s="116"/>
      <c r="AT54" s="116"/>
      <c r="AU54" s="116"/>
      <c r="AV54" s="116"/>
      <c r="AW54" s="117"/>
      <c r="AX54" s="117"/>
      <c r="AY54" s="63"/>
      <c r="AZ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</row>
    <row r="55" spans="2:106" ht="3.75" customHeight="1" x14ac:dyDescent="0.2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151"/>
      <c r="AM55" s="89"/>
      <c r="AN55" s="115"/>
      <c r="AO55" s="116"/>
      <c r="AP55" s="116"/>
      <c r="AQ55" s="116"/>
      <c r="AR55" s="116"/>
      <c r="AS55" s="116"/>
      <c r="AT55" s="116"/>
      <c r="AU55" s="116"/>
      <c r="AV55" s="116"/>
      <c r="AW55" s="117"/>
      <c r="AX55" s="117"/>
      <c r="AY55" s="63"/>
      <c r="AZ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</row>
    <row r="56" spans="2:106" ht="20.25" customHeight="1" x14ac:dyDescent="0.2">
      <c r="B56" s="199" t="s">
        <v>5</v>
      </c>
      <c r="C56" s="200"/>
      <c r="D56" s="200"/>
      <c r="E56" s="200"/>
      <c r="F56" s="200"/>
      <c r="G56" s="200"/>
      <c r="H56" s="200"/>
      <c r="I56" s="200"/>
      <c r="J56" s="200"/>
      <c r="K56" s="201"/>
      <c r="L56" s="2"/>
      <c r="M56" s="1"/>
      <c r="N56" s="2"/>
      <c r="O56" s="2"/>
      <c r="P56" s="2"/>
      <c r="Q56" s="2"/>
      <c r="R56" s="2"/>
      <c r="S56" s="2"/>
      <c r="T56" s="2"/>
      <c r="U56" s="2"/>
      <c r="V56" s="2" t="s">
        <v>7</v>
      </c>
      <c r="W56" s="2"/>
      <c r="X56" s="227" t="s">
        <v>120</v>
      </c>
      <c r="Y56" s="228"/>
      <c r="Z56" s="228"/>
      <c r="AA56" s="228"/>
      <c r="AB56" s="228"/>
      <c r="AC56" s="228"/>
      <c r="AD56" s="228"/>
      <c r="AE56" s="228"/>
      <c r="AF56" s="229"/>
      <c r="AG56" s="2"/>
      <c r="AH56" s="2"/>
      <c r="AI56" s="2"/>
      <c r="AJ56" s="2"/>
      <c r="AK56" s="2"/>
      <c r="AL56" s="152"/>
      <c r="AM56" s="89"/>
      <c r="AN56" s="115"/>
      <c r="AO56" s="116"/>
      <c r="AP56" s="116"/>
      <c r="AQ56" s="116"/>
      <c r="AR56" s="116"/>
      <c r="AS56" s="116"/>
      <c r="AT56" s="116"/>
      <c r="AU56" s="116"/>
      <c r="AV56" s="116"/>
      <c r="AW56" s="117"/>
      <c r="AX56" s="117"/>
      <c r="AY56" s="63"/>
      <c r="AZ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</row>
    <row r="57" spans="2:106" ht="24.75" customHeight="1" x14ac:dyDescent="0.2">
      <c r="B57" s="192" t="s">
        <v>110</v>
      </c>
      <c r="C57" s="193"/>
      <c r="D57" s="193"/>
      <c r="E57" s="193"/>
      <c r="F57" s="193"/>
      <c r="G57" s="193"/>
      <c r="H57" s="193"/>
      <c r="I57" s="193"/>
      <c r="J57" s="193"/>
      <c r="K57" s="194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8"/>
      <c r="Y57" s="8"/>
      <c r="Z57" s="8"/>
      <c r="AA57" s="8"/>
      <c r="AB57" s="8"/>
      <c r="AC57" s="8"/>
      <c r="AD57" s="8"/>
      <c r="AE57" s="8"/>
      <c r="AF57" s="2"/>
      <c r="AG57" s="2"/>
      <c r="AH57" s="2"/>
      <c r="AI57" s="2"/>
      <c r="AJ57" s="2"/>
      <c r="AK57" s="2"/>
      <c r="AL57" s="152"/>
      <c r="AM57" s="92"/>
      <c r="AN57" s="115"/>
      <c r="AO57" s="116"/>
      <c r="AP57" s="116"/>
      <c r="AQ57" s="116"/>
      <c r="AR57" s="116"/>
      <c r="AS57" s="116"/>
      <c r="AT57" s="116"/>
      <c r="AU57" s="116"/>
      <c r="AV57" s="116"/>
      <c r="AW57" s="117"/>
      <c r="AX57" s="117"/>
      <c r="AY57" s="63"/>
      <c r="AZ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</row>
    <row r="58" spans="2:106" ht="14.25" customHeight="1" x14ac:dyDescent="0.2">
      <c r="B58" t="s">
        <v>8</v>
      </c>
      <c r="C58" s="4"/>
      <c r="D58" s="3"/>
      <c r="E58" s="2"/>
      <c r="F58" s="2"/>
      <c r="G58" s="2"/>
      <c r="H58" s="2"/>
      <c r="I58" s="2"/>
      <c r="J58" s="2"/>
      <c r="K58" s="2"/>
      <c r="L58" s="82"/>
      <c r="M58" s="82"/>
      <c r="N58" s="82"/>
      <c r="O58" s="82"/>
      <c r="P58" s="82"/>
      <c r="Q58" s="82"/>
      <c r="R58" s="82"/>
      <c r="S58" s="7"/>
      <c r="T58" s="2"/>
      <c r="U58" s="2"/>
      <c r="V58" s="225" t="s">
        <v>19</v>
      </c>
      <c r="W58" s="225"/>
      <c r="X58" s="225"/>
      <c r="Y58" s="225"/>
      <c r="Z58" s="225"/>
      <c r="AA58" s="225"/>
      <c r="AB58" s="225"/>
      <c r="AC58" s="225"/>
      <c r="AD58" s="225"/>
      <c r="AE58" s="225"/>
      <c r="AF58" s="225"/>
      <c r="AG58" s="225"/>
      <c r="AH58" s="225"/>
      <c r="AI58" s="225"/>
      <c r="AJ58" s="225"/>
      <c r="AK58" s="225"/>
      <c r="AL58" s="152"/>
      <c r="AM58" s="92"/>
      <c r="AN58" s="115"/>
      <c r="AO58" s="116"/>
      <c r="AP58" s="116"/>
      <c r="AQ58" s="116"/>
      <c r="AR58" s="116"/>
      <c r="AS58" s="116"/>
      <c r="AT58" s="116"/>
      <c r="AU58" s="116"/>
      <c r="AV58" s="116"/>
      <c r="AW58" s="117"/>
      <c r="AX58" s="117"/>
      <c r="AY58" s="63"/>
      <c r="AZ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</row>
    <row r="59" spans="2:106" ht="20.25" customHeight="1" x14ac:dyDescent="0.2">
      <c r="B59" s="82" t="s">
        <v>0</v>
      </c>
      <c r="C59" s="82"/>
      <c r="D59" s="82"/>
      <c r="E59" s="82"/>
      <c r="F59" s="82"/>
      <c r="G59" s="82"/>
      <c r="H59" s="82"/>
      <c r="I59" s="82"/>
      <c r="J59" s="82"/>
      <c r="K59" s="82"/>
      <c r="L59" s="85"/>
      <c r="M59" s="85"/>
      <c r="N59" s="85"/>
      <c r="O59" s="85"/>
      <c r="P59" s="85"/>
      <c r="Q59" s="85"/>
      <c r="R59" s="85"/>
      <c r="S59" s="7"/>
      <c r="T59" s="2"/>
      <c r="U59" s="2"/>
      <c r="V59" s="230" t="s">
        <v>3</v>
      </c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153"/>
      <c r="AM59" s="92"/>
      <c r="AN59" s="115"/>
      <c r="AO59" s="116"/>
      <c r="AP59" s="116"/>
      <c r="AQ59" s="116"/>
      <c r="AR59" s="116"/>
      <c r="AS59" s="116"/>
      <c r="AT59" s="116"/>
      <c r="AU59" s="116"/>
      <c r="AV59" s="116"/>
      <c r="AW59" s="117"/>
      <c r="AX59" s="117"/>
      <c r="AY59" s="63"/>
      <c r="AZ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</row>
    <row r="60" spans="2:106" ht="12.75" customHeight="1" x14ac:dyDescent="0.2">
      <c r="B60" s="85" t="s">
        <v>1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7"/>
      <c r="T60" s="2"/>
      <c r="U60" s="2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230"/>
      <c r="AK60" s="230"/>
      <c r="AL60" s="151"/>
      <c r="AM60" s="92"/>
      <c r="AN60" s="115"/>
      <c r="AO60" s="116"/>
      <c r="AP60" s="116"/>
      <c r="AQ60" s="116"/>
      <c r="AR60" s="116"/>
      <c r="AS60" s="116"/>
      <c r="AT60" s="116"/>
      <c r="AU60" s="116"/>
      <c r="AV60" s="116"/>
      <c r="AW60" s="117"/>
      <c r="AX60" s="117"/>
      <c r="AY60" s="63"/>
      <c r="AZ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</row>
    <row r="61" spans="2:106" ht="12.75" customHeight="1" x14ac:dyDescent="0.2">
      <c r="B61" s="85" t="s">
        <v>4</v>
      </c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2"/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  <c r="AF61" s="230"/>
      <c r="AG61" s="230"/>
      <c r="AH61" s="230"/>
      <c r="AI61" s="230"/>
      <c r="AJ61" s="230"/>
      <c r="AK61" s="230"/>
      <c r="AL61" s="152"/>
      <c r="AM61" s="154"/>
      <c r="AN61" s="115"/>
      <c r="AO61" s="116"/>
      <c r="AP61" s="116"/>
      <c r="AQ61" s="116"/>
      <c r="AR61" s="116"/>
      <c r="AS61" s="116"/>
      <c r="AT61" s="116"/>
      <c r="AU61" s="116"/>
      <c r="AV61" s="116"/>
      <c r="AW61" s="117"/>
      <c r="AX61" s="117"/>
      <c r="AY61" s="63"/>
      <c r="AZ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</row>
    <row r="62" spans="2:106" ht="12.75" customHeight="1" x14ac:dyDescent="0.2">
      <c r="B62" s="85" t="s">
        <v>15</v>
      </c>
      <c r="C62" s="85"/>
      <c r="D62" s="85"/>
      <c r="E62" s="85"/>
      <c r="F62" s="85"/>
      <c r="G62" s="85"/>
      <c r="H62" s="85"/>
      <c r="I62" s="85"/>
      <c r="J62" s="85"/>
      <c r="K62" s="85"/>
      <c r="L62" s="84"/>
      <c r="M62" s="84"/>
      <c r="N62" s="84"/>
      <c r="O62" s="84"/>
      <c r="P62" s="84"/>
      <c r="Q62" s="84"/>
      <c r="R62" s="84"/>
      <c r="U62" s="2"/>
      <c r="V62" s="191" t="s">
        <v>118</v>
      </c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26"/>
      <c r="AL62" s="114"/>
      <c r="AM62" s="155"/>
      <c r="AN62" s="115"/>
      <c r="AO62" s="116"/>
      <c r="AP62" s="116"/>
      <c r="AQ62" s="116"/>
      <c r="AR62" s="116"/>
      <c r="AS62" s="116"/>
      <c r="AT62" s="116"/>
      <c r="AU62" s="116"/>
      <c r="AV62" s="116"/>
      <c r="AW62" s="117"/>
      <c r="AX62" s="117"/>
      <c r="AY62" s="63"/>
      <c r="AZ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7"/>
    </row>
    <row r="63" spans="2:106" ht="21.75" customHeight="1" x14ac:dyDescent="0.2">
      <c r="B63" s="190" t="s">
        <v>17</v>
      </c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84"/>
      <c r="P63" s="84"/>
      <c r="Q63" s="84"/>
      <c r="R63" s="84"/>
      <c r="U63" s="2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114"/>
      <c r="AM63" s="155"/>
      <c r="AN63" s="115"/>
      <c r="AO63" s="116"/>
      <c r="AP63" s="116"/>
      <c r="AQ63" s="116"/>
      <c r="AR63" s="116"/>
      <c r="AS63" s="116"/>
      <c r="AT63" s="116"/>
      <c r="AU63" s="116"/>
      <c r="AV63" s="116"/>
      <c r="AW63" s="117"/>
      <c r="AX63" s="117"/>
      <c r="AY63" s="63"/>
      <c r="AZ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</row>
    <row r="64" spans="2:106" x14ac:dyDescent="0.2">
      <c r="B64" s="84"/>
      <c r="C64" s="84"/>
      <c r="D64" s="84"/>
      <c r="E64" s="84"/>
      <c r="F64" s="84"/>
      <c r="G64" s="84"/>
      <c r="H64" s="84"/>
      <c r="I64" s="84"/>
      <c r="J64" s="84"/>
      <c r="K64" s="84"/>
      <c r="U64" s="2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151"/>
      <c r="AM64" s="155"/>
      <c r="AN64" s="115"/>
      <c r="AO64" s="116"/>
      <c r="AP64" s="116"/>
      <c r="AQ64" s="116"/>
      <c r="AR64" s="116"/>
      <c r="AS64" s="116"/>
      <c r="AT64" s="116"/>
      <c r="AU64" s="116"/>
      <c r="AV64" s="116"/>
      <c r="AW64" s="117"/>
      <c r="AX64" s="117"/>
      <c r="AY64" s="63"/>
      <c r="AZ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</row>
    <row r="65" spans="21:106" x14ac:dyDescent="0.2">
      <c r="U65" s="2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152"/>
      <c r="AM65" s="156"/>
      <c r="AN65" s="115"/>
      <c r="AO65" s="116"/>
      <c r="AP65" s="116"/>
      <c r="AQ65" s="116"/>
      <c r="AR65" s="116"/>
      <c r="AS65" s="116"/>
      <c r="AT65" s="116"/>
      <c r="AU65" s="116"/>
      <c r="AV65" s="116"/>
      <c r="AW65" s="117"/>
      <c r="AX65" s="117"/>
      <c r="AY65" s="63"/>
      <c r="AZ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</row>
    <row r="66" spans="21:106" x14ac:dyDescent="0.2">
      <c r="U66" s="2"/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  <c r="AF66" s="230"/>
      <c r="AG66" s="230"/>
      <c r="AH66" s="230"/>
      <c r="AI66" s="230"/>
      <c r="AJ66" s="230"/>
      <c r="AK66" s="230"/>
      <c r="AL66" s="152"/>
      <c r="AM66" s="157"/>
      <c r="AN66" s="115"/>
      <c r="AO66" s="116"/>
      <c r="AP66" s="116"/>
      <c r="AQ66" s="116"/>
      <c r="AR66" s="116"/>
      <c r="AS66" s="116"/>
      <c r="AT66" s="116"/>
      <c r="AU66" s="116"/>
      <c r="AV66" s="116"/>
      <c r="AW66" s="117"/>
      <c r="AX66" s="117"/>
      <c r="AY66" s="63"/>
      <c r="AZ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</row>
    <row r="67" spans="21:106" x14ac:dyDescent="0.2">
      <c r="V67" s="230"/>
      <c r="W67" s="230"/>
      <c r="X67" s="230"/>
      <c r="Y67" s="230"/>
      <c r="Z67" s="230"/>
      <c r="AA67" s="230"/>
      <c r="AB67" s="230"/>
      <c r="AC67" s="230"/>
      <c r="AD67" s="230"/>
      <c r="AE67" s="230"/>
      <c r="AF67" s="230"/>
      <c r="AG67" s="230"/>
      <c r="AH67" s="230"/>
      <c r="AI67" s="230"/>
      <c r="AJ67" s="230"/>
      <c r="AK67" s="230"/>
      <c r="AL67" s="152"/>
      <c r="AM67" s="155"/>
      <c r="AN67" s="115"/>
      <c r="AO67" s="116"/>
      <c r="AP67" s="116"/>
      <c r="AQ67" s="116"/>
      <c r="AR67" s="116"/>
      <c r="AS67" s="116"/>
      <c r="AT67" s="116"/>
      <c r="AU67" s="116"/>
      <c r="AV67" s="116"/>
      <c r="AW67" s="117"/>
      <c r="AX67" s="117"/>
      <c r="AY67" s="63"/>
      <c r="AZ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</row>
    <row r="68" spans="21:106" x14ac:dyDescent="0.2"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  <c r="AJ68" s="230"/>
      <c r="AK68" s="230"/>
      <c r="AL68" s="152"/>
      <c r="AM68" s="155"/>
      <c r="AN68" s="115"/>
      <c r="AO68" s="116"/>
      <c r="AP68" s="116"/>
      <c r="AQ68" s="116"/>
      <c r="AR68" s="116"/>
      <c r="AS68" s="116"/>
      <c r="AT68" s="116"/>
      <c r="AU68" s="116"/>
      <c r="AV68" s="116"/>
      <c r="AW68" s="117"/>
      <c r="AX68" s="117"/>
      <c r="AY68" s="63"/>
      <c r="AZ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117"/>
      <c r="BR68" s="117"/>
      <c r="BS68" s="117"/>
      <c r="BT68" s="117"/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7"/>
      <c r="CL68" s="117"/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</row>
    <row r="69" spans="21:106" x14ac:dyDescent="0.2">
      <c r="V69" s="225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152"/>
      <c r="AM69" s="155"/>
      <c r="AN69" s="115"/>
      <c r="AO69" s="116"/>
      <c r="AP69" s="116"/>
      <c r="AQ69" s="116"/>
      <c r="AR69" s="116"/>
      <c r="AS69" s="116"/>
      <c r="AT69" s="116"/>
      <c r="AU69" s="116"/>
      <c r="AV69" s="116"/>
      <c r="AW69" s="117"/>
      <c r="AX69" s="117"/>
      <c r="AY69" s="63"/>
      <c r="AZ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117"/>
      <c r="BR69" s="117"/>
      <c r="BS69" s="117"/>
      <c r="BT69" s="117"/>
      <c r="BU69" s="117"/>
      <c r="BV69" s="117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/>
      <c r="CG69" s="117"/>
      <c r="CH69" s="117"/>
      <c r="CI69" s="117"/>
      <c r="CJ69" s="117"/>
      <c r="CK69" s="117"/>
      <c r="CL69" s="117"/>
      <c r="CM69" s="117"/>
      <c r="CN69" s="117"/>
      <c r="CO69" s="117"/>
      <c r="CP69" s="117"/>
      <c r="CQ69" s="117"/>
      <c r="CR69" s="117"/>
      <c r="CS69" s="117"/>
      <c r="CT69" s="117"/>
      <c r="CU69" s="117"/>
      <c r="CV69" s="117"/>
      <c r="CW69" s="117"/>
      <c r="CX69" s="117"/>
      <c r="CY69" s="117"/>
      <c r="CZ69" s="117"/>
      <c r="DA69" s="117"/>
      <c r="DB69" s="117"/>
    </row>
    <row r="70" spans="21:106" x14ac:dyDescent="0.2">
      <c r="AL70" s="77"/>
      <c r="AM70" s="155"/>
    </row>
    <row r="71" spans="21:106" x14ac:dyDescent="0.2">
      <c r="AL71" s="78"/>
      <c r="AM71" s="54"/>
    </row>
    <row r="72" spans="21:106" x14ac:dyDescent="0.2">
      <c r="AL72" s="77"/>
      <c r="AM72" s="55"/>
    </row>
    <row r="73" spans="21:106" x14ac:dyDescent="0.2">
      <c r="AL73" s="77"/>
    </row>
    <row r="74" spans="21:106" x14ac:dyDescent="0.2">
      <c r="AL74" s="77"/>
    </row>
    <row r="75" spans="21:106" x14ac:dyDescent="0.2">
      <c r="AL75" s="79"/>
    </row>
  </sheetData>
  <sheetProtection algorithmName="SHA-512" hashValue="ja68bUjsITdcHh07TCdqun9Ls2iUuyQU4AfquedFdRhJV/VvwIa3GCa6Xx4mulrMAfT4hufIxggkQU99cHv0TQ==" saltValue="0nOiGbeYDnv4iIw0RdFbUw==" spinCount="100000" sheet="1" selectLockedCells="1"/>
  <mergeCells count="142">
    <mergeCell ref="B9:AK9"/>
    <mergeCell ref="AE14:AK14"/>
    <mergeCell ref="AG10:AK10"/>
    <mergeCell ref="O12:V12"/>
    <mergeCell ref="B14:F14"/>
    <mergeCell ref="V10:AC10"/>
    <mergeCell ref="G14:H14"/>
    <mergeCell ref="AL29:AL34"/>
    <mergeCell ref="AL21:AL26"/>
    <mergeCell ref="AC31:AI31"/>
    <mergeCell ref="AJ31:AK31"/>
    <mergeCell ref="I23:L23"/>
    <mergeCell ref="O31:S31"/>
    <mergeCell ref="O23:S23"/>
    <mergeCell ref="B17:AK17"/>
    <mergeCell ref="B18:J18"/>
    <mergeCell ref="K18:L18"/>
    <mergeCell ref="M18:AC18"/>
    <mergeCell ref="AD18:AE18"/>
    <mergeCell ref="M23:N23"/>
    <mergeCell ref="T23:U23"/>
    <mergeCell ref="AF18:AG18"/>
    <mergeCell ref="AJ23:AK23"/>
    <mergeCell ref="AH21:AI21"/>
    <mergeCell ref="R10:U10"/>
    <mergeCell ref="J20:Q20"/>
    <mergeCell ref="B10:F10"/>
    <mergeCell ref="G10:Q10"/>
    <mergeCell ref="I12:N12"/>
    <mergeCell ref="B12:F12"/>
    <mergeCell ref="G12:H12"/>
    <mergeCell ref="F20:I20"/>
    <mergeCell ref="AD10:AF10"/>
    <mergeCell ref="V20:AH20"/>
    <mergeCell ref="W12:AD12"/>
    <mergeCell ref="R20:U20"/>
    <mergeCell ref="U15:V15"/>
    <mergeCell ref="AE12:AK12"/>
    <mergeCell ref="AE15:AK15"/>
    <mergeCell ref="O14:V14"/>
    <mergeCell ref="W14:AD14"/>
    <mergeCell ref="I14:N14"/>
    <mergeCell ref="L15:T15"/>
    <mergeCell ref="B15:F15"/>
    <mergeCell ref="G15:H15"/>
    <mergeCell ref="I15:K15"/>
    <mergeCell ref="W15:AD15"/>
    <mergeCell ref="AL45:AL50"/>
    <mergeCell ref="AS45:AS50"/>
    <mergeCell ref="AR45:AR50"/>
    <mergeCell ref="AL37:AL42"/>
    <mergeCell ref="B20:E20"/>
    <mergeCell ref="B48:E53"/>
    <mergeCell ref="B40:E45"/>
    <mergeCell ref="B47:E47"/>
    <mergeCell ref="B39:E39"/>
    <mergeCell ref="B31:E31"/>
    <mergeCell ref="AC23:AI23"/>
    <mergeCell ref="AA23:AB23"/>
    <mergeCell ref="B32:E37"/>
    <mergeCell ref="AI20:AK20"/>
    <mergeCell ref="V21:AG21"/>
    <mergeCell ref="I47:L47"/>
    <mergeCell ref="M47:N47"/>
    <mergeCell ref="I31:L31"/>
    <mergeCell ref="O47:S47"/>
    <mergeCell ref="M39:N39"/>
    <mergeCell ref="O39:S39"/>
    <mergeCell ref="AJ39:AK39"/>
    <mergeCell ref="AC39:AI39"/>
    <mergeCell ref="I39:L39"/>
    <mergeCell ref="V69:AK69"/>
    <mergeCell ref="X56:AF56"/>
    <mergeCell ref="T47:U47"/>
    <mergeCell ref="V47:Z47"/>
    <mergeCell ref="V66:AK68"/>
    <mergeCell ref="V59:AK61"/>
    <mergeCell ref="V58:AK58"/>
    <mergeCell ref="AA47:AB47"/>
    <mergeCell ref="AC47:AI47"/>
    <mergeCell ref="AJ47:AK47"/>
    <mergeCell ref="AV37:AV42"/>
    <mergeCell ref="AU37:AU42"/>
    <mergeCell ref="AV29:AV34"/>
    <mergeCell ref="AR37:AR42"/>
    <mergeCell ref="AT37:AT42"/>
    <mergeCell ref="AV21:AV26"/>
    <mergeCell ref="AW21:AW26"/>
    <mergeCell ref="AN45:AN50"/>
    <mergeCell ref="AO45:AO50"/>
    <mergeCell ref="AS37:AS42"/>
    <mergeCell ref="AN37:AN42"/>
    <mergeCell ref="AO37:AO42"/>
    <mergeCell ref="AP37:AP42"/>
    <mergeCell ref="AQ37:AQ42"/>
    <mergeCell ref="AR21:AR26"/>
    <mergeCell ref="AV45:AV50"/>
    <mergeCell ref="AT21:AT26"/>
    <mergeCell ref="AT45:AT50"/>
    <mergeCell ref="AQ45:AQ50"/>
    <mergeCell ref="AP45:AP50"/>
    <mergeCell ref="AN29:AN34"/>
    <mergeCell ref="AO29:AO34"/>
    <mergeCell ref="AP21:AP26"/>
    <mergeCell ref="AS29:AS34"/>
    <mergeCell ref="AU45:AU50"/>
    <mergeCell ref="AU29:AU34"/>
    <mergeCell ref="AO21:AO26"/>
    <mergeCell ref="AU21:AU26"/>
    <mergeCell ref="AQ21:AQ26"/>
    <mergeCell ref="AS21:AS26"/>
    <mergeCell ref="AT29:AT34"/>
    <mergeCell ref="AP29:AP34"/>
    <mergeCell ref="AQ29:AQ34"/>
    <mergeCell ref="AR29:AR34"/>
    <mergeCell ref="T21:U21"/>
    <mergeCell ref="P21:Q21"/>
    <mergeCell ref="B23:E23"/>
    <mergeCell ref="J21:K21"/>
    <mergeCell ref="N21:O21"/>
    <mergeCell ref="B21:I21"/>
    <mergeCell ref="B22:AK22"/>
    <mergeCell ref="R21:S21"/>
    <mergeCell ref="L21:M21"/>
    <mergeCell ref="AJ21:AK21"/>
    <mergeCell ref="V23:Z23"/>
    <mergeCell ref="B63:N63"/>
    <mergeCell ref="V62:AJ62"/>
    <mergeCell ref="B57:K57"/>
    <mergeCell ref="F23:G23"/>
    <mergeCell ref="T39:U39"/>
    <mergeCell ref="B56:K56"/>
    <mergeCell ref="F47:G47"/>
    <mergeCell ref="V39:Z39"/>
    <mergeCell ref="AA39:AB39"/>
    <mergeCell ref="F39:G39"/>
    <mergeCell ref="T31:U31"/>
    <mergeCell ref="M31:N31"/>
    <mergeCell ref="F31:G31"/>
    <mergeCell ref="V31:Z31"/>
    <mergeCell ref="AA31:AB31"/>
    <mergeCell ref="B24:E29"/>
  </mergeCells>
  <phoneticPr fontId="0" type="noConversion"/>
  <dataValidations xWindow="787" yWindow="568" count="38">
    <dataValidation type="whole" allowBlank="1" showInputMessage="1" showErrorMessage="1" error="Overlap more than 2 needles not allowed" sqref="H24:H29 P24:P29 AJ40:AJ45 AJ32:AJ37 T24:T29 X24:X29 AB24:AB29 AF24:AF29 H40:H45 H32:H37 P32:P37 T32:T37 X32:X37 P40:P45 L24:L29 AJ24:AJ29 AB32:AB37 AF32:AF37 T40:T45 X40:X45 AB40:AB45 AF40:AF45 L32:L37 L40:L45 H48:H53 P48:P53 T48:T53 X48:X53 AB48:AB53 AF48:AF53 L48:L53 AJ48:AJ53" xr:uid="{00000000-0002-0000-0000-000000000000}">
      <formula1>(F24-2)</formula1>
      <formula2>(F24+2)</formula2>
    </dataValidation>
    <dataValidation allowBlank="1" showErrorMessage="1" sqref="AL1:AL1048576" xr:uid="{00000000-0002-0000-0000-000001000000}"/>
    <dataValidation type="list" allowBlank="1" showInputMessage="1" showErrorMessage="1" error="Please mark only patern disc or pattern drum by X" prompt="Please select x if you order pattern disc" sqref="F20:I20" xr:uid="{00000000-0002-0000-0000-000002000000}">
      <formula1>$AP$3:$AP$4</formula1>
    </dataValidation>
    <dataValidation type="list" allowBlank="1" showInputMessage="1" showErrorMessage="1" error="Please mark only Pattern disk or Pattern chain by X" prompt="Please select x if you order pattern chain" sqref="R20:U20" xr:uid="{00000000-0002-0000-0000-000003000000}">
      <formula1>$AP$3:$AP$4</formula1>
    </dataValidation>
    <dataValidation type="list" allowBlank="1" showInputMessage="1" showErrorMessage="1" errorTitle="Gültige Werte" error="Only values between 4, 6 ,8, ...up to 48 or value does not fit to Repeat length" prompt="Please select pattern drive ratio._x000a_If no value is selectable please mark pattern disc/chain type first._x000a_" sqref="AH21:AI21" xr:uid="{00000000-0002-0000-0000-000004000000}">
      <formula1>$AR$3:$AR$17</formula1>
    </dataValidation>
    <dataValidation type="list" allowBlank="1" showInputMessage="1" showErrorMessage="1" error="Spare parts order already selected" prompt="Please select X when new machine order._x000a_If no x is selectable remove the x of spare parts order first" sqref="G12:H12" xr:uid="{00000000-0002-0000-0000-000005000000}">
      <formula1>$AO$3</formula1>
    </dataValidation>
    <dataValidation type="list" allowBlank="1" showInputMessage="1" showErrorMessage="1" error="New machine order already selected" prompt="Please select X when spare parts order._x000a_If no x is selectable remove the x of new machine order first" sqref="G14:H14" xr:uid="{00000000-0002-0000-0000-000006000000}">
      <formula1>$AO$3</formula1>
    </dataValidation>
    <dataValidation type="list" showInputMessage="1" showErrorMessage="1" prompt="Please select x if pattern drive is of N-type_x000a_If no x is selectable remove the x of E or H type" sqref="L21:M21" xr:uid="{00000000-0002-0000-0000-000007000000}">
      <formula1>$AQ$3:$AQ$4</formula1>
    </dataValidation>
    <dataValidation allowBlank="1" showInputMessage="1" showErrorMessage="1" prompt="Please fill in machine type according to machine plate" sqref="O14:V14 O12:V12" xr:uid="{00000000-0002-0000-0000-000008000000}"/>
    <dataValidation allowBlank="1" showInputMessage="1" showErrorMessage="1" prompt="Please fill in machine no according to machine plate" sqref="AE14:AK14" xr:uid="{00000000-0002-0000-0000-000009000000}"/>
    <dataValidation allowBlank="1" showInputMessage="1" showErrorMessage="1" prompt="Please fill in no of order confirmation" sqref="AE12:AK12" xr:uid="{00000000-0002-0000-0000-00000A000000}"/>
    <dataValidation allowBlank="1" showInputMessage="1" showErrorMessage="1" prompt="Will be filled in by Karl Mayer" sqref="AE15:AK15" xr:uid="{00000000-0002-0000-0000-00000B000000}"/>
    <dataValidation type="list" allowBlank="1" showInputMessage="1" showErrorMessage="1" prompt="Please select x if pattern drive is of H-type._x000a_If no x is selectable remove the x of N or E type" sqref="T21:U21" xr:uid="{00000000-0002-0000-0000-00000C000000}">
      <formula1>$AQ$3:$AQ$4</formula1>
    </dataValidation>
    <dataValidation type="list" allowBlank="1" showInputMessage="1" showErrorMessage="1" prompt="Please mark with x when fitted on a new machine" sqref="M47:N47" xr:uid="{00000000-0002-0000-0000-00000D000000}">
      <formula1>$AW$9:$AW$10</formula1>
    </dataValidation>
    <dataValidation type="list" allowBlank="1" showInputMessage="1" showErrorMessage="1" prompt="Please mark with x when spare part or by-pack for new machine" sqref="T47:U47" xr:uid="{00000000-0002-0000-0000-00000E000000}">
      <formula1>$AX$9:$AX$10</formula1>
    </dataValidation>
    <dataValidation allowBlank="1" showInputMessage="1" showErrorMessage="1" prompt="Please fill in required quantity" sqref="AA23:AB23 AA31:AB31 AA39:AB39 AA47:AB47" xr:uid="{00000000-0002-0000-0000-00000F000000}"/>
    <dataValidation allowBlank="1" showInputMessage="1" showErrorMessage="1" prompt="Please fill in your company name and country" sqref="G10:Q10" xr:uid="{00000000-0002-0000-0000-000010000000}"/>
    <dataValidation allowBlank="1" showInputMessage="1" showErrorMessage="1" prompt="If you have your own reference no. fill in here" sqref="V10:AC10" xr:uid="{00000000-0002-0000-0000-000011000000}"/>
    <dataValidation allowBlank="1" showInputMessage="1" showErrorMessage="1" prompt="please fill in the current date" sqref="AG10:AK10" xr:uid="{00000000-0002-0000-0000-000012000000}"/>
    <dataValidation type="list" allowBlank="1" showInputMessage="1" showErrorMessage="1" prompt="Please mark with x when fitted on a new machine" sqref="M23:N23" xr:uid="{00000000-0002-0000-0000-000013000000}">
      <formula1>$AW$3:$AW$4</formula1>
    </dataValidation>
    <dataValidation type="list" allowBlank="1" showInputMessage="1" showErrorMessage="1" prompt="Please mark with x when spare part or by-pack for new machine" sqref="T23:U23" xr:uid="{00000000-0002-0000-0000-000014000000}">
      <formula1>$AX$3:$AX$4</formula1>
    </dataValidation>
    <dataValidation type="list" allowBlank="1" showInputMessage="1" showErrorMessage="1" prompt="Please mark with x when fitted on a new machine" sqref="M31:N31" xr:uid="{00000000-0002-0000-0000-000015000000}">
      <formula1>$AW$5:$AW$6</formula1>
    </dataValidation>
    <dataValidation type="list" allowBlank="1" showInputMessage="1" showErrorMessage="1" prompt="Please mark with x when spare part or by-pack for new machine" sqref="T31:U31" xr:uid="{00000000-0002-0000-0000-000016000000}">
      <formula1>$AX$5:$AX$6</formula1>
    </dataValidation>
    <dataValidation type="list" allowBlank="1" showInputMessage="1" showErrorMessage="1" prompt="Please mark with x when fitted on a new machine" sqref="M39:N39" xr:uid="{00000000-0002-0000-0000-000017000000}">
      <formula1>$AW$7:$AW$8</formula1>
    </dataValidation>
    <dataValidation type="list" allowBlank="1" showInputMessage="1" showErrorMessage="1" prompt="Please mark with x when spare part or by-pack for new machine" sqref="T39:U39" xr:uid="{00000000-0002-0000-0000-000018000000}">
      <formula1>$AX$7:$AX$8</formula1>
    </dataValidation>
    <dataValidation type="list" allowBlank="1" showInputMessage="1" showErrorMessage="1" prompt="Please select x if pattern drive is of E-type._x000a_If no x is selectable remove the x of N or H type" sqref="P21:Q21" xr:uid="{00000000-0002-0000-0000-000019000000}">
      <formula1>$AQ$3:$AQ$4</formula1>
    </dataValidation>
    <dataValidation type="list" allowBlank="1" showErrorMessage="1" prompt="Please select the gauge you order the pattern disc or chain for" sqref="G15:H15" xr:uid="{00000000-0002-0000-0000-00001A000000}">
      <formula1>$AO$14:$AO$16</formula1>
    </dataValidation>
    <dataValidation type="whole" allowBlank="1" showInputMessage="1" showErrorMessage="1" sqref="AO10" xr:uid="{00000000-0002-0000-0000-00001B000000}">
      <formula1>0</formula1>
      <formula2>AO10</formula2>
    </dataValidation>
    <dataValidation allowBlank="1" showErrorMessage="1" prompt="Please enter the lapping like 1,2/2,1_x000a_For double needle bar enter:_x000a_e.g. 1,0/0,0 for a ground bar (only front needle bar)_x000a_e.g. 1,0/0,1 for a pile building bar" sqref="F25:F29 J24:J29 N24:N29 R40:R45 R24:R29 V24:V29 Z24:Z29 AD24:AD29 V40:V45 Z40:Z45 AD40:AD45 AH40:AH45 AH24:AH29 R32:R37 V32:V37 Z32:Z37 AD32:AD37 AH32:AH37 F33:F37 J32:J37 N32:N37 F41:F45 J40:J45 N40:N45 F49:F53 J48:J53 N48:N53 R48:R53 V48:V53 Z48:Z53 AD48:AD53 AH48:AH53" xr:uid="{00000000-0002-0000-0000-00001C000000}"/>
    <dataValidation type="list" allowBlank="1" showInputMessage="1" showErrorMessage="1" prompt="Please fill in the guide bar position according to the mentioned machine " sqref="H23 H39 H31 H47" xr:uid="{00000000-0002-0000-0000-00001D000000}">
      <formula1>$BV$2:$BV$21</formula1>
    </dataValidation>
    <dataValidation allowBlank="1" showInputMessage="1" showErrorMessage="1" prompt="Please select x if double needle bar machine_x000a_leave empty if single bar machine" sqref="U15:V15" xr:uid="{00000000-0002-0000-0000-00001E000000}"/>
    <dataValidation allowBlank="1" showInputMessage="1" showErrorMessage="1" prompt="Please enter the lapping, one number per field. _x000a_Please keep in mind the preseted seperators (, and /), according to the repeat length_x000a__x000a_For double needle bar enter:_x000a_e.g. 1,0/0,0 for a ground bar (only front needle bar)_x000a_e.g. 1,0/0,1 for a pile building bar" sqref="F24 F32 F40 F48" xr:uid="{00000000-0002-0000-0000-00001F000000}"/>
    <dataValidation type="list" allowBlank="1" showInputMessage="1" showErrorMessage="1" prompt="Please select the guide bar type from the drop down list_x000a__x000a_GB = Ground bar_x000a_JB = Jaquard bar_x000a_PB = Pattern bar _x000a_FB(a) = Filler bar ( valid for KL-xx-107-78 on FB 3 only )_x000a_FB(b) = Filler bar ( all other specifications )" sqref="F47:G47 F39:G39" xr:uid="{00000000-0002-0000-0000-000020000000}">
      <formula1>$BU$2:$BU$6</formula1>
    </dataValidation>
    <dataValidation type="list" allowBlank="1" showInputMessage="1" showErrorMessage="1" prompt="Please select x when double needle bar machine_x000a_" sqref="K18:L18" xr:uid="{00000000-0002-0000-0000-000021000000}">
      <formula1>$DC$2:$DC$3</formula1>
    </dataValidation>
    <dataValidation type="list" allowBlank="1" showInputMessage="1" showErrorMessage="1" prompt="Please select the guide bar type from the drop down list_x000a__x000a_GB = Ground bar_x000a_JB = Jaquard bar_x000a_PB = Pattern bar _x000a_FB(a) = Filler bar ( valid for KL-xx-107-78 on FB 3 only )_x000a_FB(b) = Filler bar ( all other specifications )_x000a_Pile=Pile bar at tricot machines" sqref="F23:G23 F31:G31" xr:uid="{00000000-0002-0000-0000-000022000000}">
      <formula1>$BU$2:$BU$7</formula1>
    </dataValidation>
    <dataValidation type="list" allowBlank="1" showInputMessage="1" showErrorMessage="1" prompt="Please select the gauge you order the pattern disc or chain for" sqref="I15:K15" xr:uid="{00000000-0002-0000-0000-000023000000}">
      <formula1>$AM$3:$AM$36</formula1>
    </dataValidation>
    <dataValidation type="list" operator="equal" allowBlank="1" showInputMessage="1" errorTitle="Wrong value" error="Value does not fit to the Ratio Pattern Drive value" prompt="Please select repeat length of the lapping. The seperators (, and /) will be set accordingly._x000a_If repeat length is more than 48 stitches enter 48 and continue at next guide bar position._x000a__x000a_" sqref="AJ23:AK23 AJ31:AK31 AJ39:AK39 AJ47:AK47" xr:uid="{00000000-0002-0000-0000-000024000000}">
      <formula1>IF($F$20="x",$AY$2:$AY$9,$AY$2:$AY$28)</formula1>
    </dataValidation>
    <dataValidation type="list" allowBlank="1" showInputMessage="1" showErrorMessage="1" prompt="If chain link please select required pin length. If no pin length is selectable please select the pattern disc/chain type first." sqref="AI20:AK20" xr:uid="{00000000-0002-0000-0000-000025000000}">
      <formula1>IF($L$21="x",$BQ$2:$BQ$22,$BQ$2:$BQ$42)</formula1>
    </dataValidation>
  </dataValidations>
  <pageMargins left="1.3779527559055118" right="0" top="0" bottom="0" header="0.31496062992125984" footer="0.31496062992125984"/>
  <pageSetup paperSize="9" scale="83" orientation="portrait" r:id="rId1"/>
  <headerFooter alignWithMargins="0"/>
  <rowBreaks count="1" manualBreakCount="1">
    <brk id="19" min="1" max="36" man="1"/>
  </rowBreaks>
  <colBreaks count="1" manualBreakCount="1">
    <brk id="17" max="62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CB75"/>
  <sheetViews>
    <sheetView showGridLines="0" topLeftCell="A2" zoomScaleNormal="100" zoomScaleSheetLayoutView="100" workbookViewId="0">
      <selection activeCell="BT17" sqref="BT17"/>
    </sheetView>
  </sheetViews>
  <sheetFormatPr baseColWidth="10" defaultColWidth="11.42578125" defaultRowHeight="12.75" x14ac:dyDescent="0.2"/>
  <cols>
    <col min="1" max="1" width="19" style="2" customWidth="1"/>
    <col min="2" max="4" width="3.7109375" style="2" customWidth="1"/>
    <col min="5" max="5" width="5.5703125" style="2" customWidth="1"/>
    <col min="6" max="6" width="3.28515625" style="2" customWidth="1"/>
    <col min="7" max="7" width="1.42578125" style="2" customWidth="1"/>
    <col min="8" max="8" width="3.28515625" style="2" customWidth="1"/>
    <col min="9" max="9" width="1.42578125" style="2" customWidth="1"/>
    <col min="10" max="10" width="3.28515625" style="2" customWidth="1"/>
    <col min="11" max="11" width="1.42578125" style="2" customWidth="1"/>
    <col min="12" max="12" width="3.28515625" style="2" customWidth="1"/>
    <col min="13" max="13" width="1.42578125" style="2" customWidth="1"/>
    <col min="14" max="14" width="3.28515625" style="2" customWidth="1"/>
    <col min="15" max="15" width="1.42578125" style="2" customWidth="1"/>
    <col min="16" max="16" width="3.28515625" style="2" customWidth="1"/>
    <col min="17" max="17" width="1.42578125" style="2" customWidth="1"/>
    <col min="18" max="18" width="3.28515625" style="2" customWidth="1"/>
    <col min="19" max="19" width="1.42578125" style="2" customWidth="1"/>
    <col min="20" max="20" width="3.28515625" style="2" customWidth="1"/>
    <col min="21" max="21" width="1.42578125" style="2" customWidth="1"/>
    <col min="22" max="22" width="3.28515625" style="2" customWidth="1"/>
    <col min="23" max="23" width="1.42578125" style="2" customWidth="1"/>
    <col min="24" max="24" width="3.28515625" style="2" customWidth="1"/>
    <col min="25" max="25" width="1.42578125" style="2" customWidth="1"/>
    <col min="26" max="26" width="3.28515625" style="2" customWidth="1"/>
    <col min="27" max="27" width="1.42578125" style="2" customWidth="1"/>
    <col min="28" max="28" width="3.28515625" style="2" customWidth="1"/>
    <col min="29" max="29" width="1.42578125" style="2" customWidth="1"/>
    <col min="30" max="30" width="3.28515625" style="2" customWidth="1"/>
    <col min="31" max="31" width="1.42578125" style="2" customWidth="1"/>
    <col min="32" max="32" width="3.28515625" style="2" customWidth="1"/>
    <col min="33" max="33" width="1.42578125" style="2" customWidth="1"/>
    <col min="34" max="34" width="3.28515625" style="2" customWidth="1"/>
    <col min="35" max="35" width="1.42578125" style="2" customWidth="1"/>
    <col min="36" max="36" width="3.28515625" style="2" customWidth="1"/>
    <col min="37" max="37" width="1.5703125" style="2" customWidth="1"/>
    <col min="38" max="38" width="7.42578125" style="74" customWidth="1"/>
    <col min="39" max="39" width="30" style="50" hidden="1" customWidth="1"/>
    <col min="40" max="40" width="12.5703125" style="14" hidden="1" customWidth="1"/>
    <col min="41" max="41" width="14.85546875" style="15" hidden="1" customWidth="1"/>
    <col min="42" max="42" width="14.140625" style="15" hidden="1" customWidth="1"/>
    <col min="43" max="43" width="15.42578125" style="15" hidden="1" customWidth="1"/>
    <col min="44" max="44" width="12.42578125" style="15" hidden="1" customWidth="1"/>
    <col min="45" max="45" width="8.140625" style="15" hidden="1" customWidth="1"/>
    <col min="46" max="46" width="6.7109375" style="15" hidden="1" customWidth="1"/>
    <col min="47" max="47" width="7.85546875" style="15" hidden="1" customWidth="1"/>
    <col min="48" max="48" width="6.85546875" style="15" hidden="1" customWidth="1"/>
    <col min="49" max="49" width="7.85546875" style="2" hidden="1" customWidth="1"/>
    <col min="50" max="50" width="14.7109375" style="2" hidden="1" customWidth="1"/>
    <col min="51" max="53" width="14" style="64" hidden="1" customWidth="1"/>
    <col min="54" max="56" width="4.140625" style="64" hidden="1" customWidth="1"/>
    <col min="57" max="57" width="6" style="64" hidden="1" customWidth="1"/>
    <col min="58" max="58" width="6.28515625" style="64" hidden="1" customWidth="1"/>
    <col min="59" max="59" width="5.5703125" style="64" hidden="1" customWidth="1"/>
    <col min="60" max="62" width="0" style="64" hidden="1" customWidth="1"/>
    <col min="63" max="69" width="0" style="2" hidden="1" customWidth="1"/>
    <col min="70" max="16384" width="11.42578125" style="2"/>
  </cols>
  <sheetData>
    <row r="1" spans="2:70" ht="12.75" customHeight="1" x14ac:dyDescent="0.2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66"/>
      <c r="AN1" s="50"/>
      <c r="AO1" s="14" t="s">
        <v>40</v>
      </c>
      <c r="AW1" s="15"/>
      <c r="AY1" s="64" t="s">
        <v>59</v>
      </c>
      <c r="AZ1" s="64" t="s">
        <v>58</v>
      </c>
      <c r="BA1" s="64" t="s">
        <v>100</v>
      </c>
      <c r="BC1" s="64" t="s">
        <v>51</v>
      </c>
      <c r="BD1" s="64" t="s">
        <v>52</v>
      </c>
      <c r="BE1" s="64" t="s">
        <v>53</v>
      </c>
      <c r="BF1" s="64" t="s">
        <v>54</v>
      </c>
      <c r="BG1" s="64" t="s">
        <v>55</v>
      </c>
      <c r="BH1" s="64" t="s">
        <v>56</v>
      </c>
      <c r="BI1" s="64" t="s">
        <v>101</v>
      </c>
      <c r="BJ1" s="64" t="s">
        <v>57</v>
      </c>
      <c r="BK1" s="2" t="s">
        <v>91</v>
      </c>
      <c r="BL1" s="2" t="s">
        <v>92</v>
      </c>
      <c r="BM1" s="2" t="s">
        <v>93</v>
      </c>
      <c r="BN1" s="2" t="s">
        <v>94</v>
      </c>
      <c r="BO1" s="2" t="s">
        <v>95</v>
      </c>
      <c r="BP1" s="2" t="s">
        <v>96</v>
      </c>
    </row>
    <row r="2" spans="2:70" x14ac:dyDescent="0.2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66"/>
      <c r="AM2" s="51" t="s">
        <v>39</v>
      </c>
      <c r="AN2" s="51"/>
      <c r="AO2" s="14" t="s">
        <v>41</v>
      </c>
      <c r="AP2" s="15" t="s">
        <v>42</v>
      </c>
      <c r="AQ2" s="15" t="s">
        <v>43</v>
      </c>
      <c r="AR2" s="15" t="s">
        <v>44</v>
      </c>
      <c r="AS2" s="15" t="s">
        <v>46</v>
      </c>
      <c r="AT2" s="15" t="s">
        <v>47</v>
      </c>
      <c r="AU2" s="15" t="s">
        <v>48</v>
      </c>
      <c r="AW2" s="15" t="s">
        <v>49</v>
      </c>
      <c r="AX2" s="15" t="s">
        <v>50</v>
      </c>
      <c r="AY2" s="64">
        <f t="shared" ref="AY2:AY25" si="0">IF(F$17="x",BA2,AZ2)</f>
        <v>2</v>
      </c>
      <c r="AZ2" s="6">
        <v>2</v>
      </c>
      <c r="BA2" s="64">
        <f t="shared" ref="BA2:BA7" si="1">IF($AH$18=4,$BC2,IF($AH$18=8,$BD2,IF($AH$18=12,$BE2,IF($AH$18=16,$BF2,IF($AH$18=20,$BG2,IF($AH$18=24,$BH2,IF($AH$18=28,$BI2,IF(AH$18=32,$BJ2,$BC2))))))))</f>
        <v>2</v>
      </c>
      <c r="BC2" s="64">
        <f t="shared" ref="BC2:BJ2" si="2">IF($U$15="x",2*2,2)</f>
        <v>2</v>
      </c>
      <c r="BD2" s="64">
        <f t="shared" si="2"/>
        <v>2</v>
      </c>
      <c r="BE2" s="64">
        <f t="shared" si="2"/>
        <v>2</v>
      </c>
      <c r="BF2" s="64">
        <f t="shared" si="2"/>
        <v>2</v>
      </c>
      <c r="BG2" s="64">
        <f t="shared" si="2"/>
        <v>2</v>
      </c>
      <c r="BH2" s="64">
        <f t="shared" si="2"/>
        <v>2</v>
      </c>
      <c r="BI2" s="64">
        <f t="shared" si="2"/>
        <v>2</v>
      </c>
      <c r="BJ2" s="64">
        <f t="shared" si="2"/>
        <v>2</v>
      </c>
      <c r="BK2" s="2">
        <f t="shared" ref="BK2:BK42" si="3">IF(L$18="x",BL2,IF(P$18="x",BM2,IF(T$18="x",BN2,"")))</f>
        <v>30</v>
      </c>
      <c r="BL2" s="2">
        <v>30</v>
      </c>
      <c r="BM2" s="2">
        <v>45</v>
      </c>
      <c r="BN2" s="2">
        <v>45</v>
      </c>
      <c r="BO2" s="2" t="s">
        <v>97</v>
      </c>
      <c r="BP2" s="2">
        <v>1</v>
      </c>
      <c r="BR2" s="86"/>
    </row>
    <row r="3" spans="2:70" x14ac:dyDescent="0.2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66"/>
      <c r="AM3" s="51" t="s">
        <v>104</v>
      </c>
      <c r="AN3" s="87" t="str">
        <f>IF(I15="6/6",1,IF(I15="6/3",2,IF(I15="6/2",3,I15)))</f>
        <v>28</v>
      </c>
      <c r="AO3" s="46" t="str">
        <f>IF(AND(G12="",G14=""),"x","")</f>
        <v/>
      </c>
      <c r="AP3" s="47" t="str">
        <f>IF(AND(F17="",R17=""),"x","")</f>
        <v/>
      </c>
      <c r="AQ3" s="47" t="str">
        <f>IF(AND(L18="",P18="",T18=""),"x","")</f>
        <v/>
      </c>
      <c r="AR3" s="47">
        <f t="shared" ref="AR3:AR8" si="4">IF(L$18="x",AS3,IF(P$18="x",AT3,IF(T$18="x",AU3," ")))</f>
        <v>4</v>
      </c>
      <c r="AS3" s="44">
        <v>4</v>
      </c>
      <c r="AT3" s="15">
        <v>4</v>
      </c>
      <c r="AU3" s="15">
        <v>4</v>
      </c>
      <c r="AW3" s="15" t="str">
        <f>IF(G$14="x","",IF(AND(M20="",T20=""),"x",""))</f>
        <v/>
      </c>
      <c r="AX3" s="2" t="str">
        <f>IF(G$14="x","x",IF(AND(M20="",T20=""),"x",""))</f>
        <v/>
      </c>
      <c r="AY3" s="64">
        <f t="shared" si="0"/>
        <v>4</v>
      </c>
      <c r="AZ3" s="6">
        <v>4</v>
      </c>
      <c r="BA3" s="64">
        <f t="shared" si="1"/>
        <v>4</v>
      </c>
      <c r="BC3" s="88">
        <f>IF($U$15="x",AH18*2,AH18)</f>
        <v>24</v>
      </c>
      <c r="BD3" s="64">
        <f>IF($U$15="x",4*2,2)</f>
        <v>2</v>
      </c>
      <c r="BE3" s="64">
        <f>IF($U$15="x",4*2,4)</f>
        <v>4</v>
      </c>
      <c r="BF3" s="64">
        <f>IF($U$15="x",4*2,4)</f>
        <v>4</v>
      </c>
      <c r="BG3" s="64">
        <f>IF($U$15="x",10*2,10)</f>
        <v>10</v>
      </c>
      <c r="BH3" s="64">
        <f>IF($U$15="x",4*2,4)</f>
        <v>4</v>
      </c>
      <c r="BI3" s="64">
        <f>IF($U$15="x",14*2,14)</f>
        <v>14</v>
      </c>
      <c r="BJ3" s="64">
        <f>IF($U$15="x",4*2,4)</f>
        <v>4</v>
      </c>
      <c r="BK3" s="2">
        <f t="shared" si="3"/>
        <v>40</v>
      </c>
      <c r="BL3" s="2">
        <v>40</v>
      </c>
      <c r="BM3" s="2">
        <v>50</v>
      </c>
      <c r="BN3" s="2">
        <v>50</v>
      </c>
      <c r="BO3" s="2" t="s">
        <v>98</v>
      </c>
      <c r="BP3" s="2">
        <v>2</v>
      </c>
    </row>
    <row r="4" spans="2:70" x14ac:dyDescent="0.2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66"/>
      <c r="AM4" s="51" t="s">
        <v>105</v>
      </c>
      <c r="AN4" s="49"/>
      <c r="AO4" s="46"/>
      <c r="AP4" s="47"/>
      <c r="AQ4" s="47"/>
      <c r="AR4" s="47">
        <f t="shared" si="4"/>
        <v>6</v>
      </c>
      <c r="AS4" s="44">
        <v>6</v>
      </c>
      <c r="AT4" s="15">
        <v>6</v>
      </c>
      <c r="AU4" s="15">
        <v>6</v>
      </c>
      <c r="AW4" s="15"/>
      <c r="AY4" s="64">
        <f t="shared" si="0"/>
        <v>6</v>
      </c>
      <c r="AZ4" s="6">
        <v>6</v>
      </c>
      <c r="BA4" s="64">
        <f t="shared" si="1"/>
        <v>6</v>
      </c>
      <c r="BC4" s="64" t="s">
        <v>38</v>
      </c>
      <c r="BD4" s="64">
        <f>IF($U$15="x",8*2,8)</f>
        <v>8</v>
      </c>
      <c r="BE4" s="64">
        <f>IF($U$15="x",6*2,6)</f>
        <v>6</v>
      </c>
      <c r="BF4" s="64">
        <f>IF($U$15="x",8*2,8)</f>
        <v>8</v>
      </c>
      <c r="BG4" s="64">
        <f>IF($U$15="x",20*2,20)</f>
        <v>20</v>
      </c>
      <c r="BH4" s="64">
        <f>IF($U$15="x",6*2,6)</f>
        <v>6</v>
      </c>
      <c r="BI4" s="64">
        <f>IF($U$15="x",28*2,28)</f>
        <v>28</v>
      </c>
      <c r="BJ4" s="64">
        <f>IF($U$15="x",6*2,6)</f>
        <v>6</v>
      </c>
      <c r="BK4" s="2">
        <f t="shared" si="3"/>
        <v>50</v>
      </c>
      <c r="BL4" s="2">
        <v>50</v>
      </c>
      <c r="BM4" s="2">
        <v>55</v>
      </c>
      <c r="BN4" s="2">
        <v>55</v>
      </c>
      <c r="BO4" s="2" t="s">
        <v>99</v>
      </c>
      <c r="BP4" s="2">
        <v>3</v>
      </c>
    </row>
    <row r="5" spans="2:70" x14ac:dyDescent="0.2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66"/>
      <c r="AM5" s="51" t="s">
        <v>106</v>
      </c>
      <c r="AN5" s="52"/>
      <c r="AO5" s="48"/>
      <c r="AP5" s="48"/>
      <c r="AQ5" s="48"/>
      <c r="AR5" s="47">
        <f t="shared" si="4"/>
        <v>8</v>
      </c>
      <c r="AS5" s="42">
        <v>8</v>
      </c>
      <c r="AT5" s="15">
        <v>8</v>
      </c>
      <c r="AU5" s="15">
        <v>8</v>
      </c>
      <c r="AW5" s="15" t="str">
        <f>IF(G$14="x","",IF(AND(M28="",T28=""),"x",""))</f>
        <v/>
      </c>
      <c r="AX5" s="2" t="str">
        <f>IF(G$14="x","x",IF(AND(M28="",T28=""),"x",""))</f>
        <v/>
      </c>
      <c r="AY5" s="64">
        <f t="shared" si="0"/>
        <v>8</v>
      </c>
      <c r="AZ5" s="6">
        <v>8</v>
      </c>
      <c r="BA5" s="64">
        <f t="shared" si="1"/>
        <v>8</v>
      </c>
      <c r="BC5" s="64" t="s">
        <v>38</v>
      </c>
      <c r="BD5" s="64" t="s">
        <v>38</v>
      </c>
      <c r="BE5" s="64">
        <f>IF($U$15="x",12*2,12)</f>
        <v>12</v>
      </c>
      <c r="BF5" s="64">
        <f>IF($U$15="x",16*2,16)</f>
        <v>16</v>
      </c>
      <c r="BG5" s="64" t="s">
        <v>38</v>
      </c>
      <c r="BH5" s="64">
        <f>IF($U$15="x",8*2,8)</f>
        <v>8</v>
      </c>
      <c r="BJ5" s="64">
        <f>IF($U$15="x",8*2,8)</f>
        <v>8</v>
      </c>
      <c r="BK5" s="2">
        <f t="shared" si="3"/>
        <v>55</v>
      </c>
      <c r="BL5" s="2">
        <v>55</v>
      </c>
      <c r="BM5" s="2">
        <v>62</v>
      </c>
      <c r="BN5" s="2">
        <v>62</v>
      </c>
      <c r="BO5" s="2" t="s">
        <v>109</v>
      </c>
      <c r="BP5" s="2">
        <v>4</v>
      </c>
    </row>
    <row r="6" spans="2:70" ht="25.5" x14ac:dyDescent="0.2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66"/>
      <c r="AM6" s="51" t="s">
        <v>107</v>
      </c>
      <c r="AN6" s="49"/>
      <c r="AO6" s="46" t="s">
        <v>83</v>
      </c>
      <c r="AP6" s="47" t="s">
        <v>84</v>
      </c>
      <c r="AQ6" s="47"/>
      <c r="AR6" s="47">
        <f t="shared" si="4"/>
        <v>10</v>
      </c>
      <c r="AS6" s="44">
        <v>10</v>
      </c>
      <c r="AT6" s="15">
        <v>10</v>
      </c>
      <c r="AU6" s="15">
        <v>10</v>
      </c>
      <c r="AW6" s="15"/>
      <c r="AY6" s="64">
        <f t="shared" si="0"/>
        <v>12</v>
      </c>
      <c r="AZ6" s="6">
        <v>10</v>
      </c>
      <c r="BA6" s="64">
        <f t="shared" si="1"/>
        <v>12</v>
      </c>
      <c r="BC6" s="64" t="s">
        <v>38</v>
      </c>
      <c r="BD6" s="64" t="s">
        <v>38</v>
      </c>
      <c r="BE6" s="64" t="s">
        <v>38</v>
      </c>
      <c r="BF6" s="64" t="s">
        <v>38</v>
      </c>
      <c r="BG6" s="64" t="s">
        <v>38</v>
      </c>
      <c r="BH6" s="64">
        <f>IF($U$15="x",12*2,12)</f>
        <v>12</v>
      </c>
      <c r="BJ6" s="64">
        <f>IF($U$15="x",16*2,16)</f>
        <v>16</v>
      </c>
      <c r="BK6" s="2">
        <f t="shared" si="3"/>
        <v>60</v>
      </c>
      <c r="BL6" s="2">
        <v>60</v>
      </c>
      <c r="BM6" s="2">
        <v>68</v>
      </c>
      <c r="BN6" s="2">
        <v>68</v>
      </c>
      <c r="BP6" s="2">
        <v>5</v>
      </c>
    </row>
    <row r="7" spans="2:70" x14ac:dyDescent="0.2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66"/>
      <c r="AM7" s="51" t="s">
        <v>108</v>
      </c>
      <c r="AN7" s="52"/>
      <c r="AO7" s="37">
        <v>30</v>
      </c>
      <c r="AP7" s="48">
        <f>IF(G$15="E",AO7/25.4*AN$3,AO7/25*AN$3)</f>
        <v>33.070866141732289</v>
      </c>
      <c r="AQ7" s="48"/>
      <c r="AR7" s="47">
        <f t="shared" si="4"/>
        <v>12</v>
      </c>
      <c r="AS7" s="42">
        <v>12</v>
      </c>
      <c r="AT7" s="15">
        <v>12</v>
      </c>
      <c r="AU7" s="15">
        <v>12</v>
      </c>
      <c r="AW7" s="15" t="str">
        <f>IF(G$14="x","",IF(AND(M24="",T24=""),"x",""))</f>
        <v>x</v>
      </c>
      <c r="AX7" s="2" t="str">
        <f>IF(G$14="x","x",IF(AND(M36="",T36=""),"x",""))</f>
        <v/>
      </c>
      <c r="AY7" s="64">
        <f t="shared" si="0"/>
        <v>24</v>
      </c>
      <c r="AZ7" s="6">
        <v>12</v>
      </c>
      <c r="BA7" s="64">
        <f t="shared" si="1"/>
        <v>24</v>
      </c>
      <c r="BC7" s="64" t="s">
        <v>38</v>
      </c>
      <c r="BD7" s="64" t="s">
        <v>38</v>
      </c>
      <c r="BE7" s="64" t="s">
        <v>38</v>
      </c>
      <c r="BF7" s="64" t="s">
        <v>38</v>
      </c>
      <c r="BG7" s="64" t="s">
        <v>38</v>
      </c>
      <c r="BH7" s="64">
        <f>IF($U$15="x",24*2,24)</f>
        <v>24</v>
      </c>
      <c r="BJ7" s="64">
        <f>IF($U$15="x","",32)</f>
        <v>32</v>
      </c>
      <c r="BK7" s="2">
        <f t="shared" si="3"/>
        <v>65</v>
      </c>
      <c r="BL7" s="2">
        <v>65</v>
      </c>
      <c r="BM7" s="2">
        <v>82</v>
      </c>
      <c r="BN7" s="2">
        <v>82</v>
      </c>
      <c r="BP7" s="2">
        <v>6</v>
      </c>
    </row>
    <row r="8" spans="2:70" ht="20.25" customHeight="1" x14ac:dyDescent="0.2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66"/>
      <c r="AM8" s="49" t="s">
        <v>61</v>
      </c>
      <c r="AN8" s="52"/>
      <c r="AO8" s="37">
        <v>50</v>
      </c>
      <c r="AP8" s="48">
        <f>IF(G$15="E",AO8/25.4*AN$3,AO8/25*AN$3)</f>
        <v>55.118110236220474</v>
      </c>
      <c r="AQ8" s="36"/>
      <c r="AR8" s="47">
        <f t="shared" si="4"/>
        <v>14</v>
      </c>
      <c r="AS8" s="42">
        <v>14</v>
      </c>
      <c r="AT8" s="15">
        <v>14</v>
      </c>
      <c r="AU8" s="15">
        <v>14</v>
      </c>
      <c r="AW8" s="15"/>
      <c r="AY8" s="64" t="str">
        <f t="shared" si="0"/>
        <v xml:space="preserve"> </v>
      </c>
      <c r="AZ8" s="6">
        <v>14</v>
      </c>
      <c r="BA8" s="64" t="s">
        <v>38</v>
      </c>
      <c r="BC8" s="64" t="s">
        <v>38</v>
      </c>
      <c r="BD8" s="64" t="s">
        <v>38</v>
      </c>
      <c r="BG8" s="64" t="s">
        <v>38</v>
      </c>
      <c r="BJ8" s="64" t="s">
        <v>38</v>
      </c>
      <c r="BK8" s="2">
        <f t="shared" si="3"/>
        <v>72</v>
      </c>
      <c r="BL8" s="2">
        <v>72</v>
      </c>
      <c r="BM8" s="2">
        <v>92</v>
      </c>
      <c r="BN8" s="2">
        <v>92</v>
      </c>
      <c r="BP8" s="2">
        <v>7</v>
      </c>
    </row>
    <row r="9" spans="2:70" ht="39" customHeight="1" thickBot="1" x14ac:dyDescent="0.3">
      <c r="B9" s="265" t="s">
        <v>2</v>
      </c>
      <c r="C9" s="265"/>
      <c r="D9" s="265"/>
      <c r="E9" s="265"/>
      <c r="F9" s="265"/>
      <c r="G9" s="265"/>
      <c r="H9" s="266"/>
      <c r="I9" s="266"/>
      <c r="J9" s="267"/>
      <c r="K9" s="267"/>
      <c r="L9" s="267"/>
      <c r="M9" s="267"/>
      <c r="N9" s="267"/>
      <c r="O9" s="267"/>
      <c r="P9" s="267"/>
      <c r="Q9" s="267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67"/>
      <c r="AM9" s="49" t="s">
        <v>62</v>
      </c>
      <c r="AN9" s="52"/>
      <c r="AO9" s="36">
        <v>50</v>
      </c>
      <c r="AP9" s="48">
        <f>IF(G$15="E",AO9/25.4*AN$3,AO9/25*AN$3)</f>
        <v>55.118110236220474</v>
      </c>
      <c r="AQ9" s="47"/>
      <c r="AR9" s="47">
        <f t="shared" ref="AR9:AR16" si="5">IF(L$18="x",AS9,IF(P$18="x",AT9,IF(T$18="x",AU9)))</f>
        <v>16</v>
      </c>
      <c r="AS9" s="44">
        <v>16</v>
      </c>
      <c r="AT9" s="15">
        <v>16</v>
      </c>
      <c r="AU9" s="15">
        <v>16</v>
      </c>
      <c r="AW9" s="15" t="str">
        <f>IF(G$14="x","",IF(AND(M26="",T26=""),"x",""))</f>
        <v>x</v>
      </c>
      <c r="AX9" s="2" t="str">
        <f>IF(G$14="x","x",IF(AND(M44="",T44=""),"x",""))</f>
        <v/>
      </c>
      <c r="AY9" s="64" t="str">
        <f t="shared" si="0"/>
        <v xml:space="preserve"> </v>
      </c>
      <c r="AZ9" s="6">
        <v>16</v>
      </c>
      <c r="BA9" s="64" t="s">
        <v>38</v>
      </c>
      <c r="BC9" s="64" t="s">
        <v>38</v>
      </c>
      <c r="BD9" s="64" t="s">
        <v>38</v>
      </c>
      <c r="BJ9" s="64" t="s">
        <v>38</v>
      </c>
      <c r="BK9" s="2">
        <f t="shared" si="3"/>
        <v>80</v>
      </c>
      <c r="BL9" s="2">
        <v>80</v>
      </c>
      <c r="BM9" s="2">
        <v>98</v>
      </c>
      <c r="BN9" s="2">
        <v>98</v>
      </c>
      <c r="BP9" s="2">
        <v>8</v>
      </c>
    </row>
    <row r="10" spans="2:70" ht="24" customHeight="1" thickBot="1" x14ac:dyDescent="0.25">
      <c r="B10" s="302" t="s">
        <v>36</v>
      </c>
      <c r="C10" s="292"/>
      <c r="D10" s="292"/>
      <c r="E10" s="292"/>
      <c r="F10" s="292"/>
      <c r="G10" s="328" t="s">
        <v>112</v>
      </c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6" t="s">
        <v>28</v>
      </c>
      <c r="S10" s="327"/>
      <c r="T10" s="327"/>
      <c r="U10" s="327"/>
      <c r="V10" s="322">
        <v>12234</v>
      </c>
      <c r="W10" s="322"/>
      <c r="X10" s="322"/>
      <c r="Y10" s="322"/>
      <c r="Z10" s="322"/>
      <c r="AA10" s="322"/>
      <c r="AB10" s="322"/>
      <c r="AC10" s="322"/>
      <c r="AD10" s="325" t="s">
        <v>37</v>
      </c>
      <c r="AE10" s="325"/>
      <c r="AF10" s="325"/>
      <c r="AG10" s="317">
        <v>40483</v>
      </c>
      <c r="AH10" s="317"/>
      <c r="AI10" s="317"/>
      <c r="AJ10" s="317"/>
      <c r="AK10" s="318"/>
      <c r="AL10" s="68"/>
      <c r="AM10" s="52" t="s">
        <v>63</v>
      </c>
      <c r="AN10" s="49"/>
      <c r="AO10" s="89">
        <f>IF(L18="x",AP7,IF(P18="x",AP8,AP9))</f>
        <v>33.070866141732289</v>
      </c>
      <c r="AP10" s="47"/>
      <c r="AQ10" s="47"/>
      <c r="AR10" s="47">
        <f t="shared" si="5"/>
        <v>18</v>
      </c>
      <c r="AS10" s="44">
        <v>18</v>
      </c>
      <c r="AT10" s="29" t="s">
        <v>38</v>
      </c>
      <c r="AU10" s="29" t="s">
        <v>38</v>
      </c>
      <c r="AV10" s="29"/>
      <c r="AW10" s="15"/>
      <c r="AY10" s="64" t="str">
        <f t="shared" si="0"/>
        <v xml:space="preserve"> </v>
      </c>
      <c r="AZ10" s="6">
        <v>18</v>
      </c>
      <c r="BA10" s="64" t="s">
        <v>38</v>
      </c>
      <c r="BC10" s="64">
        <f>IF(BA4&gt;0,2,3)</f>
        <v>2</v>
      </c>
      <c r="BD10" s="64" t="s">
        <v>38</v>
      </c>
      <c r="BK10" s="2">
        <f t="shared" si="3"/>
        <v>96</v>
      </c>
      <c r="BL10" s="2">
        <v>96</v>
      </c>
      <c r="BM10" s="2">
        <v>102</v>
      </c>
      <c r="BN10" s="2">
        <v>102</v>
      </c>
      <c r="BP10" s="2">
        <v>9</v>
      </c>
    </row>
    <row r="11" spans="2:70" ht="9" customHeight="1" thickBot="1" x14ac:dyDescent="0.25">
      <c r="B11" s="27"/>
      <c r="C11" s="27"/>
      <c r="D11" s="27"/>
      <c r="E11" s="27"/>
      <c r="F11" s="27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6"/>
      <c r="S11" s="37"/>
      <c r="T11" s="37"/>
      <c r="U11" s="37"/>
      <c r="V11" s="27"/>
      <c r="W11" s="27"/>
      <c r="X11" s="27"/>
      <c r="Y11" s="27"/>
      <c r="Z11" s="27"/>
      <c r="AA11" s="27"/>
      <c r="AB11" s="27"/>
      <c r="AC11" s="27"/>
      <c r="AD11" s="38"/>
      <c r="AE11" s="38"/>
      <c r="AF11" s="38"/>
      <c r="AG11" s="38"/>
      <c r="AH11" s="38"/>
      <c r="AI11" s="38"/>
      <c r="AJ11" s="38"/>
      <c r="AK11" s="38"/>
      <c r="AL11" s="68"/>
      <c r="AM11" s="49" t="s">
        <v>64</v>
      </c>
      <c r="AN11" s="50"/>
      <c r="AO11" s="90"/>
      <c r="AP11" s="91"/>
      <c r="AQ11" s="91"/>
      <c r="AR11" s="47">
        <f t="shared" si="5"/>
        <v>20</v>
      </c>
      <c r="AS11" s="92">
        <v>20</v>
      </c>
      <c r="AT11" s="29" t="s">
        <v>38</v>
      </c>
      <c r="AU11" s="29" t="s">
        <v>38</v>
      </c>
      <c r="AV11" s="29"/>
      <c r="AW11" s="15"/>
      <c r="AY11" s="64" t="str">
        <f t="shared" si="0"/>
        <v xml:space="preserve"> </v>
      </c>
      <c r="AZ11" s="6">
        <v>20</v>
      </c>
      <c r="BA11" s="64" t="s">
        <v>38</v>
      </c>
      <c r="BC11" s="64">
        <f>BA4</f>
        <v>6</v>
      </c>
      <c r="BD11" s="64" t="s">
        <v>38</v>
      </c>
      <c r="BK11" s="2">
        <f t="shared" si="3"/>
        <v>110</v>
      </c>
      <c r="BL11" s="2">
        <v>110</v>
      </c>
      <c r="BM11" s="2">
        <v>107</v>
      </c>
      <c r="BN11" s="2">
        <v>107</v>
      </c>
      <c r="BP11" s="2">
        <v>10</v>
      </c>
    </row>
    <row r="12" spans="2:70" ht="24" customHeight="1" thickBot="1" x14ac:dyDescent="0.25">
      <c r="B12" s="329" t="s">
        <v>27</v>
      </c>
      <c r="C12" s="330"/>
      <c r="D12" s="330"/>
      <c r="E12" s="330"/>
      <c r="F12" s="330"/>
      <c r="G12" s="331" t="s">
        <v>111</v>
      </c>
      <c r="H12" s="332"/>
      <c r="I12" s="294" t="s">
        <v>30</v>
      </c>
      <c r="J12" s="292"/>
      <c r="K12" s="292"/>
      <c r="L12" s="292"/>
      <c r="M12" s="292"/>
      <c r="N12" s="292"/>
      <c r="O12" s="319" t="s">
        <v>113</v>
      </c>
      <c r="P12" s="319"/>
      <c r="Q12" s="319"/>
      <c r="R12" s="319"/>
      <c r="S12" s="319"/>
      <c r="T12" s="319"/>
      <c r="U12" s="319"/>
      <c r="V12" s="319"/>
      <c r="W12" s="293" t="s">
        <v>35</v>
      </c>
      <c r="X12" s="293"/>
      <c r="Y12" s="293"/>
      <c r="Z12" s="293"/>
      <c r="AA12" s="293"/>
      <c r="AB12" s="293"/>
      <c r="AC12" s="293"/>
      <c r="AD12" s="294"/>
      <c r="AE12" s="295">
        <v>104123456</v>
      </c>
      <c r="AF12" s="295"/>
      <c r="AG12" s="295"/>
      <c r="AH12" s="295"/>
      <c r="AI12" s="295"/>
      <c r="AJ12" s="295"/>
      <c r="AK12" s="350"/>
      <c r="AL12" s="93"/>
      <c r="AM12" s="52" t="s">
        <v>85</v>
      </c>
      <c r="AN12" s="50"/>
      <c r="AO12" s="90"/>
      <c r="AP12" s="91"/>
      <c r="AQ12" s="91"/>
      <c r="AR12" s="47">
        <f t="shared" si="5"/>
        <v>22</v>
      </c>
      <c r="AS12" s="92">
        <v>22</v>
      </c>
      <c r="AT12" s="41" t="s">
        <v>38</v>
      </c>
      <c r="AU12" s="41" t="s">
        <v>38</v>
      </c>
      <c r="AV12" s="41"/>
      <c r="AW12" s="58" t="s">
        <v>38</v>
      </c>
      <c r="AX12" s="58"/>
      <c r="AY12" s="64" t="str">
        <f t="shared" si="0"/>
        <v xml:space="preserve"> </v>
      </c>
      <c r="AZ12" s="27">
        <v>22</v>
      </c>
      <c r="BA12" s="27" t="s">
        <v>38</v>
      </c>
      <c r="BB12" s="27"/>
      <c r="BC12" s="27"/>
      <c r="BK12" s="2">
        <f t="shared" si="3"/>
        <v>127</v>
      </c>
      <c r="BL12" s="2">
        <v>127</v>
      </c>
      <c r="BM12" s="2">
        <v>115</v>
      </c>
      <c r="BN12" s="2">
        <v>115</v>
      </c>
      <c r="BP12" s="2">
        <v>11</v>
      </c>
    </row>
    <row r="13" spans="2:70" ht="9" customHeight="1" thickBot="1" x14ac:dyDescent="0.25">
      <c r="B13" s="39"/>
      <c r="C13" s="27"/>
      <c r="D13" s="27"/>
      <c r="E13" s="27"/>
      <c r="F13" s="27"/>
      <c r="G13" s="35"/>
      <c r="H13" s="40"/>
      <c r="I13" s="35"/>
      <c r="J13" s="35"/>
      <c r="K13" s="35"/>
      <c r="L13" s="35"/>
      <c r="M13" s="35"/>
      <c r="N13" s="35"/>
      <c r="O13" s="35"/>
      <c r="P13" s="35"/>
      <c r="Q13" s="35"/>
      <c r="R13" s="36"/>
      <c r="S13" s="37"/>
      <c r="T13" s="37"/>
      <c r="U13" s="37"/>
      <c r="V13" s="27"/>
      <c r="W13" s="27"/>
      <c r="X13" s="27"/>
      <c r="Y13" s="27"/>
      <c r="Z13" s="27"/>
      <c r="AA13" s="27"/>
      <c r="AB13" s="27"/>
      <c r="AC13" s="27"/>
      <c r="AD13" s="38"/>
      <c r="AE13" s="38"/>
      <c r="AF13" s="38"/>
      <c r="AG13" s="38"/>
      <c r="AH13" s="38"/>
      <c r="AI13" s="38"/>
      <c r="AJ13" s="38"/>
      <c r="AK13" s="38"/>
      <c r="AL13" s="68"/>
      <c r="AM13" s="52" t="s">
        <v>86</v>
      </c>
      <c r="AN13" s="50"/>
      <c r="AO13" s="90" t="s">
        <v>81</v>
      </c>
      <c r="AP13" s="91"/>
      <c r="AQ13" s="91"/>
      <c r="AR13" s="47">
        <f t="shared" si="5"/>
        <v>24</v>
      </c>
      <c r="AS13" s="92">
        <v>24</v>
      </c>
      <c r="AT13" s="29" t="s">
        <v>38</v>
      </c>
      <c r="AU13" s="29" t="s">
        <v>38</v>
      </c>
      <c r="AV13" s="29"/>
      <c r="AW13" s="15"/>
      <c r="AY13" s="64" t="str">
        <f t="shared" si="0"/>
        <v xml:space="preserve"> </v>
      </c>
      <c r="AZ13" s="6">
        <v>24</v>
      </c>
      <c r="BA13" s="64" t="s">
        <v>38</v>
      </c>
      <c r="BK13" s="2">
        <f t="shared" si="3"/>
        <v>138</v>
      </c>
      <c r="BL13" s="2">
        <v>138</v>
      </c>
      <c r="BM13" s="2">
        <v>122</v>
      </c>
      <c r="BN13" s="2">
        <v>122</v>
      </c>
      <c r="BP13" s="2">
        <v>12</v>
      </c>
    </row>
    <row r="14" spans="2:70" ht="24" customHeight="1" thickBot="1" x14ac:dyDescent="0.25">
      <c r="B14" s="320" t="s">
        <v>29</v>
      </c>
      <c r="C14" s="321"/>
      <c r="D14" s="321"/>
      <c r="E14" s="321"/>
      <c r="F14" s="321"/>
      <c r="G14" s="323"/>
      <c r="H14" s="324"/>
      <c r="I14" s="302" t="s">
        <v>30</v>
      </c>
      <c r="J14" s="292"/>
      <c r="K14" s="292"/>
      <c r="L14" s="292"/>
      <c r="M14" s="292"/>
      <c r="N14" s="292"/>
      <c r="O14" s="319"/>
      <c r="P14" s="319"/>
      <c r="Q14" s="319"/>
      <c r="R14" s="319"/>
      <c r="S14" s="319"/>
      <c r="T14" s="319"/>
      <c r="U14" s="319"/>
      <c r="V14" s="319"/>
      <c r="W14" s="330" t="s">
        <v>31</v>
      </c>
      <c r="X14" s="330"/>
      <c r="Y14" s="330"/>
      <c r="Z14" s="330"/>
      <c r="AA14" s="330"/>
      <c r="AB14" s="330"/>
      <c r="AC14" s="330"/>
      <c r="AD14" s="353"/>
      <c r="AE14" s="315"/>
      <c r="AF14" s="315"/>
      <c r="AG14" s="315"/>
      <c r="AH14" s="315"/>
      <c r="AI14" s="315"/>
      <c r="AJ14" s="315"/>
      <c r="AK14" s="316"/>
      <c r="AL14" s="94"/>
      <c r="AM14" s="52" t="s">
        <v>87</v>
      </c>
      <c r="AN14" s="50"/>
      <c r="AO14" s="14" t="s">
        <v>10</v>
      </c>
      <c r="AR14" s="47">
        <f t="shared" si="5"/>
        <v>26</v>
      </c>
      <c r="AS14" s="92">
        <v>26</v>
      </c>
      <c r="AT14" s="95" t="s">
        <v>38</v>
      </c>
      <c r="AU14" s="95" t="s">
        <v>38</v>
      </c>
      <c r="AV14" s="10"/>
      <c r="AW14" s="14"/>
      <c r="AX14" s="15"/>
      <c r="AY14" s="64" t="str">
        <f t="shared" si="0"/>
        <v xml:space="preserve"> </v>
      </c>
      <c r="AZ14" s="6">
        <v>26</v>
      </c>
      <c r="BA14" s="6" t="s">
        <v>38</v>
      </c>
      <c r="BB14" s="6"/>
      <c r="BC14" s="6"/>
      <c r="BD14" s="6"/>
      <c r="BE14" s="6"/>
      <c r="BK14" s="2">
        <f t="shared" si="3"/>
        <v>155</v>
      </c>
      <c r="BL14" s="2">
        <v>155</v>
      </c>
      <c r="BM14" s="2">
        <v>132</v>
      </c>
      <c r="BN14" s="2">
        <v>132</v>
      </c>
      <c r="BP14" s="2">
        <v>13</v>
      </c>
    </row>
    <row r="15" spans="2:70" ht="24" customHeight="1" thickBot="1" x14ac:dyDescent="0.25">
      <c r="B15" s="302" t="s">
        <v>32</v>
      </c>
      <c r="C15" s="292"/>
      <c r="D15" s="292"/>
      <c r="E15" s="292"/>
      <c r="F15" s="292"/>
      <c r="G15" s="359" t="s">
        <v>10</v>
      </c>
      <c r="H15" s="360"/>
      <c r="I15" s="361" t="s">
        <v>75</v>
      </c>
      <c r="J15" s="361"/>
      <c r="K15" s="362"/>
      <c r="L15" s="356" t="s">
        <v>102</v>
      </c>
      <c r="M15" s="357"/>
      <c r="N15" s="357"/>
      <c r="O15" s="357"/>
      <c r="P15" s="357"/>
      <c r="Q15" s="357"/>
      <c r="R15" s="357"/>
      <c r="S15" s="357"/>
      <c r="T15" s="358"/>
      <c r="U15" s="348"/>
      <c r="V15" s="349"/>
      <c r="W15" s="320" t="s">
        <v>33</v>
      </c>
      <c r="X15" s="321"/>
      <c r="Y15" s="321"/>
      <c r="Z15" s="321"/>
      <c r="AA15" s="321"/>
      <c r="AB15" s="321"/>
      <c r="AC15" s="321"/>
      <c r="AD15" s="321"/>
      <c r="AE15" s="351"/>
      <c r="AF15" s="351"/>
      <c r="AG15" s="351"/>
      <c r="AH15" s="351"/>
      <c r="AI15" s="351"/>
      <c r="AJ15" s="351"/>
      <c r="AK15" s="352"/>
      <c r="AL15" s="93"/>
      <c r="AM15" s="49" t="s">
        <v>65</v>
      </c>
      <c r="AN15" s="50"/>
      <c r="AO15" s="14" t="s">
        <v>82</v>
      </c>
      <c r="AR15" s="47">
        <f t="shared" si="5"/>
        <v>28</v>
      </c>
      <c r="AS15" s="15">
        <v>28</v>
      </c>
      <c r="AT15" s="37" t="s">
        <v>38</v>
      </c>
      <c r="AU15" s="37" t="s">
        <v>38</v>
      </c>
      <c r="AV15" s="10"/>
      <c r="AW15" s="14"/>
      <c r="AX15" s="15"/>
      <c r="AY15" s="64" t="str">
        <f t="shared" si="0"/>
        <v xml:space="preserve"> </v>
      </c>
      <c r="AZ15" s="6">
        <v>28</v>
      </c>
      <c r="BA15" s="6" t="s">
        <v>38</v>
      </c>
      <c r="BB15" s="6"/>
      <c r="BC15" s="6"/>
      <c r="BD15" s="6"/>
      <c r="BE15" s="6"/>
      <c r="BK15" s="2">
        <f t="shared" si="3"/>
        <v>160</v>
      </c>
      <c r="BL15" s="2">
        <v>160</v>
      </c>
      <c r="BM15" s="2">
        <v>148</v>
      </c>
      <c r="BN15" s="2">
        <v>148</v>
      </c>
      <c r="BP15" s="2">
        <v>14</v>
      </c>
    </row>
    <row r="16" spans="2:70" ht="7.5" customHeight="1" thickBot="1" x14ac:dyDescent="0.25">
      <c r="B16" s="20"/>
      <c r="C16" s="5"/>
      <c r="D16" s="5"/>
      <c r="E16" s="5"/>
      <c r="F16" s="9"/>
      <c r="G16" s="9"/>
      <c r="H16" s="9"/>
      <c r="I16" s="9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69"/>
      <c r="AM16" s="50" t="s">
        <v>88</v>
      </c>
      <c r="AN16" s="50"/>
      <c r="AO16" s="14" t="s">
        <v>11</v>
      </c>
      <c r="AR16" s="47">
        <f t="shared" si="5"/>
        <v>32</v>
      </c>
      <c r="AS16" s="15">
        <v>32</v>
      </c>
      <c r="AT16" s="29" t="s">
        <v>38</v>
      </c>
      <c r="AU16" s="29" t="s">
        <v>38</v>
      </c>
      <c r="AV16" s="29"/>
      <c r="AW16" s="15"/>
      <c r="AY16" s="64" t="str">
        <f t="shared" si="0"/>
        <v xml:space="preserve"> </v>
      </c>
      <c r="AZ16" s="6">
        <v>30</v>
      </c>
      <c r="BA16" s="64" t="s">
        <v>38</v>
      </c>
      <c r="BK16" s="2">
        <f t="shared" si="3"/>
        <v>190</v>
      </c>
      <c r="BL16" s="2">
        <v>190</v>
      </c>
      <c r="BM16" s="2">
        <v>155</v>
      </c>
      <c r="BN16" s="2">
        <v>155</v>
      </c>
      <c r="BP16" s="2">
        <v>15</v>
      </c>
    </row>
    <row r="17" spans="2:80" ht="26.25" customHeight="1" thickBot="1" x14ac:dyDescent="0.25">
      <c r="B17" s="296" t="s">
        <v>13</v>
      </c>
      <c r="C17" s="297"/>
      <c r="D17" s="297"/>
      <c r="E17" s="297"/>
      <c r="F17" s="305" t="s">
        <v>111</v>
      </c>
      <c r="G17" s="306"/>
      <c r="H17" s="306"/>
      <c r="I17" s="307"/>
      <c r="J17" s="339" t="s">
        <v>16</v>
      </c>
      <c r="K17" s="339"/>
      <c r="L17" s="339"/>
      <c r="M17" s="339"/>
      <c r="N17" s="339"/>
      <c r="O17" s="339"/>
      <c r="P17" s="339"/>
      <c r="Q17" s="340"/>
      <c r="R17" s="305" t="s">
        <v>45</v>
      </c>
      <c r="S17" s="306"/>
      <c r="T17" s="306"/>
      <c r="U17" s="307"/>
      <c r="V17" s="339" t="s">
        <v>20</v>
      </c>
      <c r="W17" s="339"/>
      <c r="X17" s="339"/>
      <c r="Y17" s="339"/>
      <c r="Z17" s="339"/>
      <c r="AA17" s="339"/>
      <c r="AB17" s="339"/>
      <c r="AC17" s="339"/>
      <c r="AD17" s="339"/>
      <c r="AE17" s="339"/>
      <c r="AF17" s="339"/>
      <c r="AG17" s="339"/>
      <c r="AH17" s="340"/>
      <c r="AI17" s="306" t="s">
        <v>38</v>
      </c>
      <c r="AJ17" s="306"/>
      <c r="AK17" s="338"/>
      <c r="AL17" s="94" t="s">
        <v>45</v>
      </c>
      <c r="AM17" s="50" t="s">
        <v>89</v>
      </c>
      <c r="AN17" s="50"/>
      <c r="AO17" s="14"/>
      <c r="AT17" s="29" t="s">
        <v>38</v>
      </c>
      <c r="AU17" s="29"/>
      <c r="AV17" s="29"/>
      <c r="AW17" s="15"/>
      <c r="AY17" s="64" t="str">
        <f t="shared" si="0"/>
        <v xml:space="preserve"> </v>
      </c>
      <c r="AZ17" s="6">
        <v>32</v>
      </c>
      <c r="BA17" s="64" t="s">
        <v>38</v>
      </c>
      <c r="BK17" s="2">
        <f t="shared" si="3"/>
        <v>212</v>
      </c>
      <c r="BL17" s="2">
        <v>212</v>
      </c>
      <c r="BM17" s="2">
        <v>168</v>
      </c>
      <c r="BN17" s="2">
        <v>168</v>
      </c>
      <c r="BP17" s="2">
        <v>16</v>
      </c>
    </row>
    <row r="18" spans="2:80" ht="25.5" customHeight="1" thickBot="1" x14ac:dyDescent="0.25">
      <c r="B18" s="310" t="s">
        <v>12</v>
      </c>
      <c r="C18" s="293"/>
      <c r="D18" s="293"/>
      <c r="E18" s="293"/>
      <c r="F18" s="293"/>
      <c r="G18" s="293"/>
      <c r="H18" s="293"/>
      <c r="I18" s="294"/>
      <c r="J18" s="311" t="s">
        <v>9</v>
      </c>
      <c r="K18" s="294"/>
      <c r="L18" s="343" t="s">
        <v>111</v>
      </c>
      <c r="M18" s="344"/>
      <c r="N18" s="311" t="s">
        <v>10</v>
      </c>
      <c r="O18" s="294"/>
      <c r="P18" s="343"/>
      <c r="Q18" s="344"/>
      <c r="R18" s="311" t="s">
        <v>11</v>
      </c>
      <c r="S18" s="294"/>
      <c r="T18" s="341"/>
      <c r="U18" s="342"/>
      <c r="V18" s="301" t="s">
        <v>22</v>
      </c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45"/>
      <c r="AH18" s="346">
        <v>24</v>
      </c>
      <c r="AI18" s="346"/>
      <c r="AJ18" s="346" t="s">
        <v>21</v>
      </c>
      <c r="AK18" s="347"/>
      <c r="AL18" s="70"/>
      <c r="AM18" s="50" t="s">
        <v>90</v>
      </c>
      <c r="AN18" s="49"/>
      <c r="AO18" s="28"/>
      <c r="AP18" s="29"/>
      <c r="AQ18" s="29"/>
      <c r="AR18" s="29"/>
      <c r="AS18" s="44"/>
      <c r="AT18" s="29"/>
      <c r="AU18" s="29"/>
      <c r="AV18" s="29"/>
      <c r="AW18" s="15"/>
      <c r="AY18" s="64" t="str">
        <f t="shared" si="0"/>
        <v xml:space="preserve"> </v>
      </c>
      <c r="AZ18" s="6">
        <v>34</v>
      </c>
      <c r="BA18" s="64" t="s">
        <v>38</v>
      </c>
      <c r="BK18" s="2">
        <f t="shared" si="3"/>
        <v>224</v>
      </c>
      <c r="BL18" s="2">
        <v>224</v>
      </c>
      <c r="BM18" s="2">
        <v>187</v>
      </c>
      <c r="BN18" s="2">
        <v>187</v>
      </c>
      <c r="BP18" s="2">
        <v>17</v>
      </c>
    </row>
    <row r="19" spans="2:80" ht="7.5" customHeight="1" thickBot="1" x14ac:dyDescent="0.25">
      <c r="B19" s="308"/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09"/>
      <c r="AA19" s="309"/>
      <c r="AB19" s="309"/>
      <c r="AC19" s="309"/>
      <c r="AD19" s="309"/>
      <c r="AE19" s="309"/>
      <c r="AF19" s="309"/>
      <c r="AG19" s="309"/>
      <c r="AH19" s="309"/>
      <c r="AI19" s="309"/>
      <c r="AJ19" s="309"/>
      <c r="AK19" s="309"/>
      <c r="AL19" s="71"/>
      <c r="AM19" s="50" t="s">
        <v>66</v>
      </c>
      <c r="AN19" s="49"/>
      <c r="AO19" s="28"/>
      <c r="AP19" s="29"/>
      <c r="AQ19" s="30"/>
      <c r="AR19" s="30"/>
      <c r="AS19" s="30"/>
      <c r="AT19" s="30"/>
      <c r="AU19" s="30"/>
      <c r="AV19" s="30"/>
      <c r="AW19" s="16"/>
      <c r="AX19" s="11"/>
      <c r="AY19" s="64" t="str">
        <f t="shared" si="0"/>
        <v xml:space="preserve"> </v>
      </c>
      <c r="AZ19" s="59" t="s">
        <v>60</v>
      </c>
      <c r="BA19" s="65" t="s">
        <v>38</v>
      </c>
      <c r="BB19" s="65"/>
      <c r="BC19" s="65"/>
      <c r="BD19" s="65"/>
      <c r="BE19" s="65"/>
      <c r="BF19" s="65"/>
      <c r="BG19" s="65"/>
      <c r="BH19" s="65"/>
      <c r="BI19" s="65"/>
      <c r="BJ19" s="65"/>
      <c r="BK19" s="2">
        <f t="shared" si="3"/>
        <v>285</v>
      </c>
      <c r="BL19" s="2">
        <v>285</v>
      </c>
      <c r="BM19" s="2">
        <v>205</v>
      </c>
      <c r="BN19" s="2">
        <v>205</v>
      </c>
      <c r="BO19" s="11"/>
      <c r="BP19" s="11" t="s">
        <v>69</v>
      </c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</row>
    <row r="20" spans="2:80" ht="26.25" customHeight="1" thickBot="1" x14ac:dyDescent="0.25">
      <c r="B20" s="302" t="s">
        <v>14</v>
      </c>
      <c r="C20" s="303"/>
      <c r="D20" s="303"/>
      <c r="E20" s="304"/>
      <c r="F20" s="354" t="s">
        <v>97</v>
      </c>
      <c r="G20" s="355"/>
      <c r="H20" s="106">
        <v>1</v>
      </c>
      <c r="I20" s="293" t="s">
        <v>25</v>
      </c>
      <c r="J20" s="293"/>
      <c r="K20" s="293"/>
      <c r="L20" s="294"/>
      <c r="M20" s="295" t="s">
        <v>111</v>
      </c>
      <c r="N20" s="295"/>
      <c r="O20" s="292" t="s">
        <v>34</v>
      </c>
      <c r="P20" s="292"/>
      <c r="Q20" s="292"/>
      <c r="R20" s="292"/>
      <c r="S20" s="292"/>
      <c r="T20" s="319"/>
      <c r="U20" s="333"/>
      <c r="V20" s="334" t="s">
        <v>23</v>
      </c>
      <c r="W20" s="327"/>
      <c r="X20" s="327"/>
      <c r="Y20" s="327"/>
      <c r="Z20" s="327"/>
      <c r="AA20" s="295">
        <v>1</v>
      </c>
      <c r="AB20" s="295"/>
      <c r="AC20" s="297" t="s">
        <v>24</v>
      </c>
      <c r="AD20" s="297"/>
      <c r="AE20" s="297"/>
      <c r="AF20" s="297"/>
      <c r="AG20" s="297"/>
      <c r="AH20" s="297"/>
      <c r="AI20" s="297"/>
      <c r="AJ20" s="335">
        <v>4</v>
      </c>
      <c r="AK20" s="336"/>
      <c r="AL20" s="80" t="s">
        <v>103</v>
      </c>
      <c r="AM20" s="50" t="s">
        <v>67</v>
      </c>
      <c r="AN20" s="52"/>
      <c r="AO20" s="96"/>
      <c r="AP20" s="96"/>
      <c r="AQ20" s="96"/>
      <c r="AR20" s="97"/>
      <c r="AS20" s="28"/>
      <c r="AT20" s="29"/>
      <c r="AU20" s="29"/>
      <c r="AV20" s="29"/>
      <c r="AW20" s="15"/>
      <c r="AX20" s="15"/>
      <c r="AY20" s="64" t="str">
        <f t="shared" si="0"/>
        <v xml:space="preserve"> </v>
      </c>
      <c r="AZ20" s="6">
        <v>38</v>
      </c>
      <c r="BA20" s="6" t="s">
        <v>38</v>
      </c>
      <c r="BK20" s="2">
        <f t="shared" si="3"/>
        <v>288</v>
      </c>
      <c r="BL20" s="2">
        <v>288</v>
      </c>
      <c r="BM20" s="2">
        <v>210</v>
      </c>
      <c r="BN20" s="2">
        <v>210</v>
      </c>
      <c r="BP20" s="2">
        <v>19</v>
      </c>
    </row>
    <row r="21" spans="2:80" ht="12.75" customHeight="1" thickBot="1" x14ac:dyDescent="0.25">
      <c r="B21" s="298" t="s">
        <v>18</v>
      </c>
      <c r="C21" s="299"/>
      <c r="D21" s="299"/>
      <c r="E21" s="299"/>
      <c r="F21" s="111">
        <v>1</v>
      </c>
      <c r="G21" s="18" t="str">
        <f>IF($AJ20&gt;=1,",","")</f>
        <v>,</v>
      </c>
      <c r="H21" s="109">
        <v>0</v>
      </c>
      <c r="I21" s="18" t="str">
        <f>IF($AJ20&gt;1,"/","")</f>
        <v>/</v>
      </c>
      <c r="J21" s="109">
        <v>0</v>
      </c>
      <c r="K21" s="18" t="str">
        <f>IF($AJ20&gt;=2,",","")</f>
        <v>,</v>
      </c>
      <c r="L21" s="109">
        <v>1</v>
      </c>
      <c r="M21" s="18" t="str">
        <f>IF($AJ20&gt;2,"/","")</f>
        <v>/</v>
      </c>
      <c r="N21" s="109">
        <v>1</v>
      </c>
      <c r="O21" s="18" t="str">
        <f>IF($AJ20&gt;=3,",","")</f>
        <v>,</v>
      </c>
      <c r="P21" s="109">
        <v>2</v>
      </c>
      <c r="Q21" s="18" t="str">
        <f>IF($AJ20&gt;3,"/","")</f>
        <v>/</v>
      </c>
      <c r="R21" s="109">
        <v>2</v>
      </c>
      <c r="S21" s="18" t="str">
        <f>IF($AJ20&gt;=4,",","")</f>
        <v>,</v>
      </c>
      <c r="T21" s="109">
        <v>1</v>
      </c>
      <c r="U21" s="18" t="str">
        <f>IF($AJ20&gt;4,"/","")</f>
        <v/>
      </c>
      <c r="V21" s="109"/>
      <c r="W21" s="18" t="str">
        <f>IF($AJ20&gt;=5,",","")</f>
        <v/>
      </c>
      <c r="X21" s="109"/>
      <c r="Y21" s="18" t="str">
        <f>IF($AJ20&gt;5,"/","")</f>
        <v/>
      </c>
      <c r="Z21" s="109"/>
      <c r="AA21" s="18" t="str">
        <f>IF($AJ20&gt;=6,",","")</f>
        <v/>
      </c>
      <c r="AB21" s="109"/>
      <c r="AC21" s="18" t="str">
        <f>IF($AJ20&gt;6,"/","")</f>
        <v/>
      </c>
      <c r="AD21" s="109"/>
      <c r="AE21" s="18" t="str">
        <f>IF($AJ20&gt;=7,",","")</f>
        <v/>
      </c>
      <c r="AF21" s="109"/>
      <c r="AG21" s="18" t="str">
        <f>IF($AJ20&gt;7,"/","")</f>
        <v/>
      </c>
      <c r="AH21" s="109"/>
      <c r="AI21" s="18" t="str">
        <f>IF($AJ20&gt;=8,",","")</f>
        <v/>
      </c>
      <c r="AJ21" s="109"/>
      <c r="AK21" s="21" t="str">
        <f>IF($AJ20&gt;8,"/","")</f>
        <v/>
      </c>
      <c r="AL21" s="313"/>
      <c r="AM21" s="50" t="s">
        <v>68</v>
      </c>
      <c r="AN21" s="49"/>
      <c r="AO21" s="337" t="str">
        <f>CONCATENATE(AP21,AQ21,AR21,AS21,AT21,AU21,AV21,AW21)</f>
        <v>1,0/0,1/1,2/2,1</v>
      </c>
      <c r="AP21" s="312" t="str">
        <f>CONCATENATE(F21,G21,H21,I21,J21,K21,L21,M21,N21,O21,P21,Q21,R21,S21,T21,U21,V21,W21,X21,Y21,Z21,AA21,AB21,AC21,AD21,AE21,AF21,AG21,AH21,AI21)</f>
        <v>1,0/0,1/1,2/2,1</v>
      </c>
      <c r="AQ21" s="312" t="str">
        <f>CONCATENATE(AJ21,AK21,F22,G22,H22,I22,J22,K22,L22,M22,N22,O22,P22,Q22,R22,S22,T22,U22,V22,W22,X22,Y22,Z22,AA22,AB22)</f>
        <v/>
      </c>
      <c r="AR21" s="312" t="str">
        <f>CONCATENATE(AC22,AD22,AE22,AF22,AG22,AH22,AI22,AJ22,AK22,F23,G23,H23,I23,J23,K23,L23,M23,N23,O23,P23,Q23,R23)</f>
        <v/>
      </c>
      <c r="AS21" s="312" t="str">
        <f>CONCATENATE(S23,T23,U23,V23,W23,X23,Y23,Z23,AA23,AB23,AC23,AD23,AE23,AF23,AG23,AH23,AI23,AJ23,AK23,F24,G24,H24,I24,J24,K24)</f>
        <v/>
      </c>
      <c r="AT21" s="312" t="str">
        <f>CONCATENATE(L24,M24,N24,O24,P24,Q24,R24,S24,T24,U24,V24,W24,X24,Y24,Z24,AA24,AB24,AC24,AD24,AE24,AF24,AG24,AH24,AI24,AJ24,AK24)</f>
        <v/>
      </c>
      <c r="AU21" s="312" t="str">
        <f>CONCATENATE(F25,G25,H25,I25,J25,K25,L25,M25,N25,O25,P25,Q25,R25,S25,T25,U25,V25,W25,X25,Y25,Z25,AA25,AB25,AC25,AD25,AE25)</f>
        <v/>
      </c>
      <c r="AV21" s="312" t="str">
        <f>CONCATENATE(AF25,AG25,AH25,AI25,AJ25,AK25,F26,G26,H26,I26,J26,K26,L26,M26,N26,O26,P26,Q26,R26,S26,T26,U26,V26,W26,X26,Y26)</f>
        <v/>
      </c>
      <c r="AW21" s="312" t="str">
        <f>CONCATENATE(Z26,AA26,AB26,AC26,AD26,AE26,AF26,AG26,AH26,AI26,AJ26,AK26)</f>
        <v/>
      </c>
      <c r="AY21" s="64" t="str">
        <f t="shared" si="0"/>
        <v xml:space="preserve"> </v>
      </c>
      <c r="AZ21" s="6">
        <v>40</v>
      </c>
      <c r="BA21" s="64" t="s">
        <v>38</v>
      </c>
      <c r="BK21" s="2">
        <f t="shared" si="3"/>
        <v>322</v>
      </c>
      <c r="BL21" s="2">
        <v>322</v>
      </c>
      <c r="BM21" s="2">
        <v>220</v>
      </c>
      <c r="BN21" s="2">
        <v>220</v>
      </c>
      <c r="BP21" s="2">
        <v>20</v>
      </c>
    </row>
    <row r="22" spans="2:80" ht="12.75" customHeight="1" thickBot="1" x14ac:dyDescent="0.25">
      <c r="B22" s="298"/>
      <c r="C22" s="299"/>
      <c r="D22" s="299"/>
      <c r="E22" s="299"/>
      <c r="F22" s="111"/>
      <c r="G22" s="18" t="str">
        <f>IF($AJ20&gt;=9,",","")</f>
        <v/>
      </c>
      <c r="H22" s="109"/>
      <c r="I22" s="18" t="str">
        <f>IF($AJ20&gt;9,"/","")</f>
        <v/>
      </c>
      <c r="J22" s="109"/>
      <c r="K22" s="18" t="str">
        <f>IF($AJ20&gt;=10,",","")</f>
        <v/>
      </c>
      <c r="L22" s="109"/>
      <c r="M22" s="18" t="str">
        <f>IF($AJ20&gt;10,"/","")</f>
        <v/>
      </c>
      <c r="N22" s="109"/>
      <c r="O22" s="18" t="str">
        <f>IF($AJ20&gt;=11,",","")</f>
        <v/>
      </c>
      <c r="P22" s="109"/>
      <c r="Q22" s="18" t="str">
        <f>IF($AJ20&gt;11,"/","")</f>
        <v/>
      </c>
      <c r="R22" s="109"/>
      <c r="S22" s="18" t="str">
        <f>IF($AJ20&gt;=12,",","")</f>
        <v/>
      </c>
      <c r="T22" s="109"/>
      <c r="U22" s="18" t="str">
        <f>IF($AJ20&gt;12,"/","")</f>
        <v/>
      </c>
      <c r="V22" s="109"/>
      <c r="W22" s="18" t="str">
        <f>IF($AJ20&gt;=13,",","")</f>
        <v/>
      </c>
      <c r="X22" s="109"/>
      <c r="Y22" s="18" t="str">
        <f>IF($AJ20&gt;13,"/","")</f>
        <v/>
      </c>
      <c r="Z22" s="109"/>
      <c r="AA22" s="18" t="str">
        <f>IF($AJ20&gt;=14,",","")</f>
        <v/>
      </c>
      <c r="AB22" s="109"/>
      <c r="AC22" s="18" t="str">
        <f>IF($AJ20&gt;14,"/","")</f>
        <v/>
      </c>
      <c r="AD22" s="109"/>
      <c r="AE22" s="18" t="str">
        <f>IF($AJ20&gt;=15,",","")</f>
        <v/>
      </c>
      <c r="AF22" s="109"/>
      <c r="AG22" s="18" t="str">
        <f>IF($AJ20&gt;15,"/","")</f>
        <v/>
      </c>
      <c r="AH22" s="109"/>
      <c r="AI22" s="18" t="str">
        <f>IF($AJ20&gt;=16,",","")</f>
        <v/>
      </c>
      <c r="AJ22" s="109"/>
      <c r="AK22" s="21" t="str">
        <f>IF($AJ20&gt;16,"/","")</f>
        <v/>
      </c>
      <c r="AL22" s="313"/>
      <c r="AM22" s="50" t="s">
        <v>69</v>
      </c>
      <c r="AN22" s="49"/>
      <c r="AO22" s="337"/>
      <c r="AP22" s="312"/>
      <c r="AQ22" s="312"/>
      <c r="AR22" s="312"/>
      <c r="AS22" s="312"/>
      <c r="AT22" s="312"/>
      <c r="AU22" s="312"/>
      <c r="AV22" s="312"/>
      <c r="AW22" s="312"/>
      <c r="AX22" s="19"/>
      <c r="AY22" s="64" t="str">
        <f t="shared" si="0"/>
        <v xml:space="preserve"> </v>
      </c>
      <c r="AZ22" s="23">
        <v>42</v>
      </c>
      <c r="BA22" s="98" t="s">
        <v>38</v>
      </c>
      <c r="BB22" s="98"/>
      <c r="BC22" s="98"/>
      <c r="BD22" s="98"/>
      <c r="BE22" s="98"/>
      <c r="BF22" s="98"/>
      <c r="BG22" s="98"/>
      <c r="BH22" s="98"/>
      <c r="BI22" s="98"/>
      <c r="BJ22" s="98"/>
      <c r="BK22" s="2" t="str">
        <f t="shared" si="3"/>
        <v xml:space="preserve"> </v>
      </c>
      <c r="BL22" s="19" t="s">
        <v>38</v>
      </c>
      <c r="BM22" s="2">
        <v>223</v>
      </c>
      <c r="BN22" s="2">
        <v>223</v>
      </c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</row>
    <row r="23" spans="2:80" ht="13.5" thickBot="1" x14ac:dyDescent="0.25">
      <c r="B23" s="298"/>
      <c r="C23" s="299"/>
      <c r="D23" s="299"/>
      <c r="E23" s="299"/>
      <c r="F23" s="111"/>
      <c r="G23" s="18" t="str">
        <f>IF($AJ20&gt;=17,",","")</f>
        <v/>
      </c>
      <c r="H23" s="109"/>
      <c r="I23" s="18" t="str">
        <f>IF($AJ20&gt;17,"/","")</f>
        <v/>
      </c>
      <c r="J23" s="109"/>
      <c r="K23" s="18" t="str">
        <f>IF($AJ20&gt;=18,",","")</f>
        <v/>
      </c>
      <c r="L23" s="109"/>
      <c r="M23" s="18" t="str">
        <f>IF($AJ20&gt;18,"/","")</f>
        <v/>
      </c>
      <c r="N23" s="109"/>
      <c r="O23" s="18" t="str">
        <f>IF($AJ20&gt;=19,",","")</f>
        <v/>
      </c>
      <c r="P23" s="109"/>
      <c r="Q23" s="18" t="str">
        <f>IF($AJ20&gt;19,"/","")</f>
        <v/>
      </c>
      <c r="R23" s="109"/>
      <c r="S23" s="18" t="str">
        <f>IF($AJ20&gt;=20,",","")</f>
        <v/>
      </c>
      <c r="T23" s="109"/>
      <c r="U23" s="18" t="str">
        <f>IF($AJ20&gt;20,"/","")</f>
        <v/>
      </c>
      <c r="V23" s="109"/>
      <c r="W23" s="18" t="str">
        <f>IF($AJ20&gt;=21,",","")</f>
        <v/>
      </c>
      <c r="X23" s="109"/>
      <c r="Y23" s="18" t="str">
        <f>IF($AJ20&gt;21,"/","")</f>
        <v/>
      </c>
      <c r="Z23" s="109"/>
      <c r="AA23" s="18" t="str">
        <f>IF($AJ20&gt;=22,",","")</f>
        <v/>
      </c>
      <c r="AB23" s="109"/>
      <c r="AC23" s="18" t="str">
        <f>IF($AJ20&gt;22,"/","")</f>
        <v/>
      </c>
      <c r="AD23" s="109"/>
      <c r="AE23" s="18" t="str">
        <f>IF($AJ20&gt;=23,",","")</f>
        <v/>
      </c>
      <c r="AF23" s="109"/>
      <c r="AG23" s="18" t="str">
        <f>IF($AJ20&gt;23,"/","")</f>
        <v/>
      </c>
      <c r="AH23" s="109"/>
      <c r="AI23" s="18" t="str">
        <f>IF($AJ20&gt;=24,",","")</f>
        <v/>
      </c>
      <c r="AJ23" s="109"/>
      <c r="AK23" s="21" t="str">
        <f>IF($AJ20&gt;24,"/","")</f>
        <v/>
      </c>
      <c r="AL23" s="313"/>
      <c r="AM23" s="49" t="s">
        <v>70</v>
      </c>
      <c r="AN23" s="49"/>
      <c r="AO23" s="337"/>
      <c r="AP23" s="312"/>
      <c r="AQ23" s="312"/>
      <c r="AR23" s="312"/>
      <c r="AS23" s="312"/>
      <c r="AT23" s="312"/>
      <c r="AU23" s="312"/>
      <c r="AV23" s="312"/>
      <c r="AW23" s="312"/>
      <c r="AY23" s="64" t="str">
        <f t="shared" si="0"/>
        <v xml:space="preserve"> </v>
      </c>
      <c r="AZ23" s="72">
        <v>44</v>
      </c>
      <c r="BA23" s="64" t="s">
        <v>38</v>
      </c>
      <c r="BK23" s="2" t="str">
        <f t="shared" si="3"/>
        <v xml:space="preserve"> </v>
      </c>
      <c r="BL23" s="2" t="s">
        <v>38</v>
      </c>
      <c r="BM23" s="2">
        <v>228</v>
      </c>
      <c r="BN23" s="2">
        <v>228</v>
      </c>
    </row>
    <row r="24" spans="2:80" ht="13.5" thickBot="1" x14ac:dyDescent="0.25">
      <c r="B24" s="298"/>
      <c r="C24" s="299"/>
      <c r="D24" s="299"/>
      <c r="E24" s="299"/>
      <c r="F24" s="111"/>
      <c r="G24" s="18" t="str">
        <f>IF($AJ20&gt;=25,",","")</f>
        <v/>
      </c>
      <c r="H24" s="109"/>
      <c r="I24" s="18" t="str">
        <f>IF($AJ20&gt;25,"/","")</f>
        <v/>
      </c>
      <c r="J24" s="109"/>
      <c r="K24" s="18" t="str">
        <f>IF($AJ20&gt;=26,",","")</f>
        <v/>
      </c>
      <c r="L24" s="109"/>
      <c r="M24" s="18" t="str">
        <f>IF($AJ20&gt;26,"/","")</f>
        <v/>
      </c>
      <c r="N24" s="109"/>
      <c r="O24" s="18" t="str">
        <f>IF($AJ20&gt;=27,",","")</f>
        <v/>
      </c>
      <c r="P24" s="109"/>
      <c r="Q24" s="18" t="str">
        <f>IF($AJ20&gt;27,"/","")</f>
        <v/>
      </c>
      <c r="R24" s="109"/>
      <c r="S24" s="18" t="str">
        <f>IF($AJ20&gt;=28,",","")</f>
        <v/>
      </c>
      <c r="T24" s="109"/>
      <c r="U24" s="18" t="str">
        <f>IF($AJ20&gt;28,"/","")</f>
        <v/>
      </c>
      <c r="V24" s="109"/>
      <c r="W24" s="18" t="str">
        <f>IF($AJ20&gt;=29,",","")</f>
        <v/>
      </c>
      <c r="X24" s="109"/>
      <c r="Y24" s="18" t="str">
        <f>IF($AJ20&gt;29,"/","")</f>
        <v/>
      </c>
      <c r="Z24" s="109"/>
      <c r="AA24" s="18" t="str">
        <f>IF($AJ20&gt;=30,",","")</f>
        <v/>
      </c>
      <c r="AB24" s="109"/>
      <c r="AC24" s="18" t="str">
        <f>IF($AJ20&gt;30,"/","")</f>
        <v/>
      </c>
      <c r="AD24" s="109"/>
      <c r="AE24" s="18" t="str">
        <f>IF($AJ20&gt;=31,",","")</f>
        <v/>
      </c>
      <c r="AF24" s="109"/>
      <c r="AG24" s="18" t="str">
        <f>IF($AJ20&gt;31,"/","")</f>
        <v/>
      </c>
      <c r="AH24" s="109"/>
      <c r="AI24" s="34" t="str">
        <f>IF($AJ20&gt;=32,",","")</f>
        <v/>
      </c>
      <c r="AJ24" s="109"/>
      <c r="AK24" s="21" t="str">
        <f>IF($AJ20&gt;32,"/","")</f>
        <v/>
      </c>
      <c r="AL24" s="313"/>
      <c r="AM24" s="49" t="s">
        <v>71</v>
      </c>
      <c r="AN24" s="49"/>
      <c r="AO24" s="337"/>
      <c r="AP24" s="312"/>
      <c r="AQ24" s="312"/>
      <c r="AR24" s="312"/>
      <c r="AS24" s="312"/>
      <c r="AT24" s="312"/>
      <c r="AU24" s="312"/>
      <c r="AV24" s="312"/>
      <c r="AW24" s="312"/>
      <c r="AY24" s="64" t="str">
        <f t="shared" si="0"/>
        <v xml:space="preserve"> </v>
      </c>
      <c r="AZ24" s="72">
        <v>46</v>
      </c>
      <c r="BA24" s="64" t="s">
        <v>38</v>
      </c>
      <c r="BK24" s="2" t="str">
        <f t="shared" si="3"/>
        <v xml:space="preserve"> </v>
      </c>
      <c r="BL24" s="2" t="s">
        <v>38</v>
      </c>
      <c r="BM24" s="2">
        <v>240</v>
      </c>
      <c r="BN24" s="2">
        <v>240</v>
      </c>
    </row>
    <row r="25" spans="2:80" ht="13.5" thickBot="1" x14ac:dyDescent="0.25">
      <c r="B25" s="298"/>
      <c r="C25" s="299"/>
      <c r="D25" s="299"/>
      <c r="E25" s="299"/>
      <c r="F25" s="111"/>
      <c r="G25" s="18" t="str">
        <f>IF($AJ20&gt;=33,",","")</f>
        <v/>
      </c>
      <c r="H25" s="109"/>
      <c r="I25" s="18" t="str">
        <f>IF($AJ20&gt;33,"/","")</f>
        <v/>
      </c>
      <c r="J25" s="109"/>
      <c r="K25" s="18" t="str">
        <f>IF($AJ20&gt;=34,",","")</f>
        <v/>
      </c>
      <c r="L25" s="109"/>
      <c r="M25" s="18" t="str">
        <f>IF($AJ20&gt;34,"/","")</f>
        <v/>
      </c>
      <c r="N25" s="109"/>
      <c r="O25" s="18" t="str">
        <f>IF($AJ20&gt;=35,",","")</f>
        <v/>
      </c>
      <c r="P25" s="109"/>
      <c r="Q25" s="18" t="str">
        <f>IF($AJ20&gt;35,"/","")</f>
        <v/>
      </c>
      <c r="R25" s="109"/>
      <c r="S25" s="18" t="str">
        <f>IF($AJ20&gt;=36,",","")</f>
        <v/>
      </c>
      <c r="T25" s="109"/>
      <c r="U25" s="18" t="str">
        <f>IF($AJ20&gt;36,"/","")</f>
        <v/>
      </c>
      <c r="V25" s="109"/>
      <c r="W25" s="18" t="str">
        <f>IF($AJ20&gt;=37,",","")</f>
        <v/>
      </c>
      <c r="X25" s="109"/>
      <c r="Y25" s="18" t="str">
        <f>IF($AJ20&gt;37,"/","")</f>
        <v/>
      </c>
      <c r="Z25" s="109"/>
      <c r="AA25" s="18" t="str">
        <f>IF($AJ20&gt;=38,",","")</f>
        <v/>
      </c>
      <c r="AB25" s="109"/>
      <c r="AC25" s="18" t="str">
        <f>IF($AJ20&gt;38,"/","")</f>
        <v/>
      </c>
      <c r="AD25" s="109"/>
      <c r="AE25" s="18" t="str">
        <f>IF($AJ20&gt;=39,",","")</f>
        <v/>
      </c>
      <c r="AF25" s="109"/>
      <c r="AG25" s="34" t="str">
        <f>IF($AJ20&gt;39,"/","")</f>
        <v/>
      </c>
      <c r="AH25" s="109"/>
      <c r="AI25" s="18" t="str">
        <f>IF($AJ20&gt;=40,",","")</f>
        <v/>
      </c>
      <c r="AJ25" s="109"/>
      <c r="AK25" s="21" t="str">
        <f>IF($AJ20&gt;40,"/","")</f>
        <v/>
      </c>
      <c r="AL25" s="313"/>
      <c r="AM25" s="52" t="s">
        <v>72</v>
      </c>
      <c r="AN25" s="49"/>
      <c r="AO25" s="337"/>
      <c r="AP25" s="312"/>
      <c r="AQ25" s="312"/>
      <c r="AR25" s="312"/>
      <c r="AS25" s="312"/>
      <c r="AT25" s="312"/>
      <c r="AU25" s="312"/>
      <c r="AV25" s="312"/>
      <c r="AW25" s="312"/>
      <c r="AY25" s="64" t="str">
        <f t="shared" si="0"/>
        <v xml:space="preserve"> </v>
      </c>
      <c r="AZ25" s="72">
        <v>48</v>
      </c>
      <c r="BA25" s="64" t="s">
        <v>38</v>
      </c>
      <c r="BK25" s="2" t="str">
        <f t="shared" si="3"/>
        <v xml:space="preserve"> </v>
      </c>
      <c r="BL25" s="2" t="s">
        <v>38</v>
      </c>
      <c r="BM25" s="2">
        <v>245</v>
      </c>
      <c r="BN25" s="2">
        <v>245</v>
      </c>
    </row>
    <row r="26" spans="2:80" ht="13.5" thickBot="1" x14ac:dyDescent="0.25">
      <c r="B26" s="300"/>
      <c r="C26" s="301"/>
      <c r="D26" s="301"/>
      <c r="E26" s="301"/>
      <c r="F26" s="112"/>
      <c r="G26" s="24" t="str">
        <f>IF($AJ20&gt;=41,",","")</f>
        <v/>
      </c>
      <c r="H26" s="110"/>
      <c r="I26" s="24" t="str">
        <f>IF($AJ20&gt;41,"/","")</f>
        <v/>
      </c>
      <c r="J26" s="110"/>
      <c r="K26" s="24" t="str">
        <f>IF($AJ20&gt;=42,",","")</f>
        <v/>
      </c>
      <c r="L26" s="110"/>
      <c r="M26" s="24" t="str">
        <f>IF($AJ20&gt;42,"/","")</f>
        <v/>
      </c>
      <c r="N26" s="110"/>
      <c r="O26" s="24" t="str">
        <f>IF($AJ20&gt;=43,",","")</f>
        <v/>
      </c>
      <c r="P26" s="110"/>
      <c r="Q26" s="24" t="str">
        <f>IF($AJ20&gt;43,"/","")</f>
        <v/>
      </c>
      <c r="R26" s="110"/>
      <c r="S26" s="24" t="str">
        <f>IF($AJ20&gt;=44,",","")</f>
        <v/>
      </c>
      <c r="T26" s="110"/>
      <c r="U26" s="24" t="str">
        <f>IF($AJ20&gt;44,"/","")</f>
        <v/>
      </c>
      <c r="V26" s="110"/>
      <c r="W26" s="24" t="str">
        <f>IF($AJ20&gt;=45,",","")</f>
        <v/>
      </c>
      <c r="X26" s="110"/>
      <c r="Y26" s="24" t="str">
        <f>IF($AJ20&gt;45,"/","")</f>
        <v/>
      </c>
      <c r="Z26" s="110"/>
      <c r="AA26" s="24" t="str">
        <f>IF($AJ20&gt;=46,",","")</f>
        <v/>
      </c>
      <c r="AB26" s="110"/>
      <c r="AC26" s="24" t="str">
        <f>IF($AJ20&gt;46,"/","")</f>
        <v/>
      </c>
      <c r="AD26" s="110"/>
      <c r="AE26" s="24" t="str">
        <f>IF($AJ20&gt;=47,",","")</f>
        <v/>
      </c>
      <c r="AF26" s="110"/>
      <c r="AG26" s="24" t="str">
        <f>IF($AJ20&gt;47,"/","")</f>
        <v/>
      </c>
      <c r="AH26" s="110"/>
      <c r="AI26" s="24" t="str">
        <f>IF($AJ20&gt;=48,",","")</f>
        <v/>
      </c>
      <c r="AJ26" s="110"/>
      <c r="AK26" s="25" t="str">
        <f>IF($AJ20&gt;48,"/","")</f>
        <v/>
      </c>
      <c r="AL26" s="314"/>
      <c r="AM26" s="49" t="s">
        <v>73</v>
      </c>
      <c r="AN26" s="49"/>
      <c r="AO26" s="337"/>
      <c r="AP26" s="312"/>
      <c r="AQ26" s="312"/>
      <c r="AR26" s="312"/>
      <c r="AS26" s="312"/>
      <c r="AT26" s="312"/>
      <c r="AU26" s="312"/>
      <c r="AV26" s="312"/>
      <c r="AW26" s="312"/>
      <c r="BC26" s="6"/>
      <c r="BK26" s="2" t="str">
        <f t="shared" si="3"/>
        <v xml:space="preserve"> </v>
      </c>
      <c r="BL26" s="2" t="s">
        <v>38</v>
      </c>
      <c r="BM26" s="2">
        <v>248</v>
      </c>
      <c r="BN26" s="2">
        <v>248</v>
      </c>
    </row>
    <row r="27" spans="2:80" ht="7.5" customHeight="1" thickBot="1" x14ac:dyDescent="0.25">
      <c r="B27" s="22"/>
      <c r="C27" s="23"/>
      <c r="D27" s="23"/>
      <c r="E27" s="23"/>
      <c r="F27" s="23"/>
      <c r="G27" s="23"/>
      <c r="H27" s="19"/>
      <c r="I27" s="23"/>
      <c r="J27" s="19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33"/>
      <c r="AL27" s="72"/>
      <c r="AM27" s="49" t="s">
        <v>74</v>
      </c>
      <c r="AP27" s="17"/>
      <c r="AQ27" s="17"/>
      <c r="BK27" s="2" t="str">
        <f t="shared" si="3"/>
        <v xml:space="preserve"> </v>
      </c>
      <c r="BL27" s="2" t="s">
        <v>38</v>
      </c>
      <c r="BM27" s="2">
        <v>268</v>
      </c>
      <c r="BN27" s="2">
        <v>268</v>
      </c>
    </row>
    <row r="28" spans="2:80" ht="26.25" customHeight="1" thickBot="1" x14ac:dyDescent="0.25">
      <c r="B28" s="302" t="s">
        <v>14</v>
      </c>
      <c r="C28" s="303"/>
      <c r="D28" s="303"/>
      <c r="E28" s="304"/>
      <c r="F28" s="108" t="s">
        <v>97</v>
      </c>
      <c r="G28" s="107"/>
      <c r="H28" s="106">
        <v>2</v>
      </c>
      <c r="I28" s="293" t="s">
        <v>25</v>
      </c>
      <c r="J28" s="293"/>
      <c r="K28" s="293"/>
      <c r="L28" s="294"/>
      <c r="M28" s="295" t="s">
        <v>111</v>
      </c>
      <c r="N28" s="295"/>
      <c r="O28" s="292" t="s">
        <v>34</v>
      </c>
      <c r="P28" s="292"/>
      <c r="Q28" s="292"/>
      <c r="R28" s="292"/>
      <c r="S28" s="292"/>
      <c r="T28" s="319"/>
      <c r="U28" s="333"/>
      <c r="V28" s="334" t="s">
        <v>23</v>
      </c>
      <c r="W28" s="327"/>
      <c r="X28" s="327"/>
      <c r="Y28" s="327"/>
      <c r="Z28" s="327"/>
      <c r="AA28" s="295">
        <v>1</v>
      </c>
      <c r="AB28" s="295"/>
      <c r="AC28" s="297" t="s">
        <v>24</v>
      </c>
      <c r="AD28" s="297"/>
      <c r="AE28" s="297"/>
      <c r="AF28" s="297"/>
      <c r="AG28" s="297"/>
      <c r="AH28" s="297"/>
      <c r="AI28" s="297"/>
      <c r="AJ28" s="335">
        <v>2</v>
      </c>
      <c r="AK28" s="336"/>
      <c r="AL28" s="80" t="s">
        <v>103</v>
      </c>
      <c r="AM28" s="49" t="s">
        <v>75</v>
      </c>
      <c r="AN28" s="96"/>
      <c r="AO28" s="96"/>
      <c r="AP28" s="96"/>
      <c r="AQ28" s="97"/>
      <c r="AR28" s="28"/>
      <c r="AS28" s="29"/>
      <c r="AT28" s="29"/>
      <c r="AU28" s="29"/>
      <c r="AW28" s="15"/>
      <c r="AX28" s="15"/>
      <c r="AY28" s="6"/>
      <c r="AZ28" s="6"/>
      <c r="BK28" s="2" t="str">
        <f t="shared" si="3"/>
        <v xml:space="preserve"> </v>
      </c>
      <c r="BL28" s="2" t="s">
        <v>38</v>
      </c>
      <c r="BM28" s="2">
        <v>278</v>
      </c>
      <c r="BN28" s="2">
        <v>278</v>
      </c>
    </row>
    <row r="29" spans="2:80" ht="12.75" customHeight="1" thickBot="1" x14ac:dyDescent="0.25">
      <c r="B29" s="298" t="s">
        <v>18</v>
      </c>
      <c r="C29" s="299"/>
      <c r="D29" s="299"/>
      <c r="E29" s="299"/>
      <c r="F29" s="111">
        <v>1</v>
      </c>
      <c r="G29" s="18" t="str">
        <f>IF($AJ28&gt;=1,",","")</f>
        <v>,</v>
      </c>
      <c r="H29" s="109">
        <v>0</v>
      </c>
      <c r="I29" s="18" t="str">
        <f>IF($AJ28&gt;1,"/","")</f>
        <v>/</v>
      </c>
      <c r="J29" s="109">
        <v>2</v>
      </c>
      <c r="K29" s="18" t="str">
        <f>IF($AJ28&gt;=2,",","")</f>
        <v>,</v>
      </c>
      <c r="L29" s="109">
        <v>3</v>
      </c>
      <c r="M29" s="18" t="str">
        <f>IF($AJ28&gt;2,"/","")</f>
        <v/>
      </c>
      <c r="N29" s="109"/>
      <c r="O29" s="18" t="str">
        <f>IF($AJ28&gt;=3,",","")</f>
        <v/>
      </c>
      <c r="P29" s="109"/>
      <c r="Q29" s="18" t="str">
        <f>IF($AJ28&gt;3,"/","")</f>
        <v/>
      </c>
      <c r="R29" s="109"/>
      <c r="S29" s="18" t="str">
        <f>IF($AJ28&gt;=4,",","")</f>
        <v/>
      </c>
      <c r="T29" s="109"/>
      <c r="U29" s="18" t="str">
        <f>IF($AJ28&gt;4,"/","")</f>
        <v/>
      </c>
      <c r="V29" s="109"/>
      <c r="W29" s="18" t="str">
        <f>IF($AJ28&gt;=5,",","")</f>
        <v/>
      </c>
      <c r="X29" s="109"/>
      <c r="Y29" s="18" t="str">
        <f>IF($AJ28&gt;5,"/","")</f>
        <v/>
      </c>
      <c r="Z29" s="109"/>
      <c r="AA29" s="18" t="str">
        <f>IF($AJ28&gt;=6,",","")</f>
        <v/>
      </c>
      <c r="AB29" s="109"/>
      <c r="AC29" s="18" t="str">
        <f>IF($AJ28&gt;6,"/","")</f>
        <v/>
      </c>
      <c r="AD29" s="109"/>
      <c r="AE29" s="18" t="str">
        <f>IF($AJ28&gt;=7,",","")</f>
        <v/>
      </c>
      <c r="AF29" s="109"/>
      <c r="AG29" s="18" t="str">
        <f>IF($AJ28&gt;7,"/","")</f>
        <v/>
      </c>
      <c r="AH29" s="109"/>
      <c r="AI29" s="18" t="str">
        <f>IF($AJ28&gt;=8,",","")</f>
        <v/>
      </c>
      <c r="AJ29" s="109"/>
      <c r="AK29" s="21" t="str">
        <f>IF($AJ28&gt;8,"/","")</f>
        <v/>
      </c>
      <c r="AL29" s="313"/>
      <c r="AM29" s="49" t="s">
        <v>76</v>
      </c>
      <c r="AN29" s="337" t="str">
        <f>CONCATENATE(AO29,AP29,AQ29,AR29,AS29,AT29,AU29,AV29)</f>
        <v>1,0/2,3</v>
      </c>
      <c r="AO29" s="312" t="str">
        <f>CONCATENATE(F29,G29,H29,I29,J29,K29,L29,M29,N29,O29,P29,Q29,R29,S29,T29,U29,V29,W29,X29,Y29,Z29,AA29,AB29,AC29,AD29,AE29,AF29,AG29,AH29,AI29)</f>
        <v>1,0/2,3</v>
      </c>
      <c r="AP29" s="312" t="str">
        <f>CONCATENATE(AJ29,AK29,F30,G30,H30,I30,J30,K30,L30,M30,N30,O30,P30,Q30,R30,S30,T30,U30,V30,W30,X30,Y30,Z30,AA30,AB30)</f>
        <v/>
      </c>
      <c r="AQ29" s="312" t="str">
        <f>CONCATENATE(AC30,AD30,AE30,AF30,AG30,AH30,AI30,AJ30,AK30,F31,G31,H31,I31,J31,K31,L31,M31,N31,O31,P31,Q31,R31)</f>
        <v/>
      </c>
      <c r="AR29" s="312" t="str">
        <f>CONCATENATE(S31,T31,U31,V31,W31,X31,Y31,Z31,AA31,AB31,AC31,AD31,AE31,AF31,AG31,AH31,AI31,AJ31,AK31,F32,G32,H32,I32,J32,K32)</f>
        <v/>
      </c>
      <c r="AS29" s="312" t="str">
        <f>CONCATENATE(L32,M32,N32,O32,P32,Q32,R32,S32,T32,U32,V32,W32,X32,Y32,Z32,AA32,AB32,AC32,AD32,AE32,AF32,AG32,AH32,AI32,AJ32,AK32)</f>
        <v/>
      </c>
      <c r="AT29" s="312" t="str">
        <f>CONCATENATE(F33,G33,H33,I33,J33,K33,L33,M33,N33,O33,P33,Q33,R33,S33,T33,U33,V33,W33,X33,Y33,Z33,AA33,AB33,AC33,AD33,AE33)</f>
        <v/>
      </c>
      <c r="AU29" s="312" t="str">
        <f>CONCATENATE(AF33,AG33,AH33,AI33,AJ33,AK33,F34,G34,H34,I34,J34,K34,L34,M34,N34,O34,P34,Q34,R34,S34,T34,U34,V34,W34,X34,Y34)</f>
        <v/>
      </c>
      <c r="AV29" s="312" t="str">
        <f>CONCATENATE(Z34,AA34,AB34,AC34,AD34,AE34,AF34,AG34,AH34,AI34,AJ34,AK34)</f>
        <v/>
      </c>
      <c r="BK29" s="2" t="str">
        <f t="shared" si="3"/>
        <v xml:space="preserve"> </v>
      </c>
      <c r="BL29" s="2" t="s">
        <v>38</v>
      </c>
      <c r="BM29" s="2">
        <v>287</v>
      </c>
      <c r="BN29" s="2">
        <v>287</v>
      </c>
    </row>
    <row r="30" spans="2:80" ht="12.75" customHeight="1" thickBot="1" x14ac:dyDescent="0.25">
      <c r="B30" s="298"/>
      <c r="C30" s="299"/>
      <c r="D30" s="299"/>
      <c r="E30" s="299"/>
      <c r="F30" s="111"/>
      <c r="G30" s="18" t="str">
        <f>IF($AJ28&gt;=9,",","")</f>
        <v/>
      </c>
      <c r="H30" s="109"/>
      <c r="I30" s="18" t="str">
        <f>IF($AJ28&gt;9,"/","")</f>
        <v/>
      </c>
      <c r="J30" s="109"/>
      <c r="K30" s="18" t="str">
        <f>IF($AJ28&gt;=10,",","")</f>
        <v/>
      </c>
      <c r="L30" s="109"/>
      <c r="M30" s="18" t="str">
        <f>IF($AJ28&gt;10,"/","")</f>
        <v/>
      </c>
      <c r="N30" s="109"/>
      <c r="O30" s="18" t="str">
        <f>IF($AJ28&gt;=11,",","")</f>
        <v/>
      </c>
      <c r="P30" s="109"/>
      <c r="Q30" s="18" t="str">
        <f>IF($AJ28&gt;11,"/","")</f>
        <v/>
      </c>
      <c r="R30" s="109"/>
      <c r="S30" s="18" t="str">
        <f>IF($AJ28&gt;=12,",","")</f>
        <v/>
      </c>
      <c r="T30" s="109"/>
      <c r="U30" s="18" t="str">
        <f>IF($AJ28&gt;12,"/","")</f>
        <v/>
      </c>
      <c r="V30" s="109"/>
      <c r="W30" s="18" t="str">
        <f>IF($AJ28&gt;=13,",","")</f>
        <v/>
      </c>
      <c r="X30" s="109"/>
      <c r="Y30" s="18" t="str">
        <f>IF($AJ28&gt;13,"/","")</f>
        <v/>
      </c>
      <c r="Z30" s="109"/>
      <c r="AA30" s="18" t="str">
        <f>IF($AJ28&gt;=14,",","")</f>
        <v/>
      </c>
      <c r="AB30" s="109"/>
      <c r="AC30" s="18" t="str">
        <f>IF($AJ28&gt;14,"/","")</f>
        <v/>
      </c>
      <c r="AD30" s="109"/>
      <c r="AE30" s="18" t="str">
        <f>IF($AJ28&gt;=15,",","")</f>
        <v/>
      </c>
      <c r="AF30" s="109"/>
      <c r="AG30" s="18" t="str">
        <f>IF($AJ28&gt;15,"/","")</f>
        <v/>
      </c>
      <c r="AH30" s="109"/>
      <c r="AI30" s="18" t="str">
        <f>IF($AJ28&gt;=16,",","")</f>
        <v/>
      </c>
      <c r="AJ30" s="109"/>
      <c r="AK30" s="21" t="str">
        <f>IF($AJ28&gt;16,"/","")</f>
        <v/>
      </c>
      <c r="AL30" s="313"/>
      <c r="AM30" s="49" t="s">
        <v>77</v>
      </c>
      <c r="AN30" s="337"/>
      <c r="AO30" s="312"/>
      <c r="AP30" s="312"/>
      <c r="AQ30" s="312"/>
      <c r="AR30" s="312"/>
      <c r="AS30" s="312"/>
      <c r="AT30" s="312"/>
      <c r="AU30" s="312"/>
      <c r="AV30" s="312"/>
      <c r="AW30" s="19"/>
      <c r="AX30" s="19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2" t="str">
        <f t="shared" si="3"/>
        <v xml:space="preserve"> </v>
      </c>
      <c r="BL30" s="19" t="s">
        <v>38</v>
      </c>
      <c r="BM30" s="2">
        <v>296</v>
      </c>
      <c r="BN30" s="2">
        <v>296</v>
      </c>
      <c r="BO30" s="19"/>
      <c r="BP30" s="19"/>
      <c r="BQ30" s="19"/>
      <c r="BR30" s="19"/>
      <c r="BS30" s="19"/>
      <c r="BT30" s="19"/>
      <c r="BU30" s="19"/>
      <c r="BV30" s="19"/>
      <c r="BW30" s="19"/>
      <c r="BX30" s="19"/>
    </row>
    <row r="31" spans="2:80" ht="13.5" thickBot="1" x14ac:dyDescent="0.25">
      <c r="B31" s="298"/>
      <c r="C31" s="299"/>
      <c r="D31" s="299"/>
      <c r="E31" s="299"/>
      <c r="F31" s="111"/>
      <c r="G31" s="18" t="str">
        <f>IF($AJ28&gt;=17,",","")</f>
        <v/>
      </c>
      <c r="H31" s="109"/>
      <c r="I31" s="18" t="str">
        <f>IF($AJ28&gt;17,"/","")</f>
        <v/>
      </c>
      <c r="J31" s="109"/>
      <c r="K31" s="18" t="str">
        <f>IF($AJ28&gt;=18,",","")</f>
        <v/>
      </c>
      <c r="L31" s="109"/>
      <c r="M31" s="18" t="str">
        <f>IF($AJ28&gt;18,"/","")</f>
        <v/>
      </c>
      <c r="N31" s="109"/>
      <c r="O31" s="18" t="str">
        <f>IF($AJ28&gt;=19,",","")</f>
        <v/>
      </c>
      <c r="P31" s="109"/>
      <c r="Q31" s="18" t="str">
        <f>IF($AJ28&gt;19,"/","")</f>
        <v/>
      </c>
      <c r="R31" s="109"/>
      <c r="S31" s="18" t="str">
        <f>IF($AJ28&gt;=20,",","")</f>
        <v/>
      </c>
      <c r="T31" s="109"/>
      <c r="U31" s="18" t="str">
        <f>IF($AJ28&gt;20,"/","")</f>
        <v/>
      </c>
      <c r="V31" s="109"/>
      <c r="W31" s="18" t="str">
        <f>IF($AJ28&gt;=21,",","")</f>
        <v/>
      </c>
      <c r="X31" s="109"/>
      <c r="Y31" s="18" t="str">
        <f>IF($AJ28&gt;21,"/","")</f>
        <v/>
      </c>
      <c r="Z31" s="109"/>
      <c r="AA31" s="18" t="str">
        <f>IF($AJ28&gt;=22,",","")</f>
        <v/>
      </c>
      <c r="AB31" s="109"/>
      <c r="AC31" s="18" t="str">
        <f>IF($AJ28&gt;22,"/","")</f>
        <v/>
      </c>
      <c r="AD31" s="109"/>
      <c r="AE31" s="18" t="str">
        <f>IF($AJ28&gt;=23,",","")</f>
        <v/>
      </c>
      <c r="AF31" s="109"/>
      <c r="AG31" s="18" t="str">
        <f>IF($AJ28&gt;23,"/","")</f>
        <v/>
      </c>
      <c r="AH31" s="109"/>
      <c r="AI31" s="18" t="str">
        <f>IF($AJ28&gt;=24,",","")</f>
        <v/>
      </c>
      <c r="AJ31" s="109"/>
      <c r="AK31" s="21" t="str">
        <f>IF($AJ28&gt;24,"/","")</f>
        <v/>
      </c>
      <c r="AL31" s="313"/>
      <c r="AM31" s="49" t="s">
        <v>60</v>
      </c>
      <c r="AN31" s="337"/>
      <c r="AO31" s="312"/>
      <c r="AP31" s="312"/>
      <c r="AQ31" s="312"/>
      <c r="AR31" s="312"/>
      <c r="AS31" s="312"/>
      <c r="AT31" s="312"/>
      <c r="AU31" s="312"/>
      <c r="AV31" s="312"/>
      <c r="BK31" s="2" t="str">
        <f t="shared" si="3"/>
        <v xml:space="preserve"> </v>
      </c>
      <c r="BL31" s="2" t="s">
        <v>38</v>
      </c>
      <c r="BM31" s="2">
        <v>310</v>
      </c>
      <c r="BN31" s="2">
        <v>310</v>
      </c>
    </row>
    <row r="32" spans="2:80" ht="13.5" thickBot="1" x14ac:dyDescent="0.25">
      <c r="B32" s="298"/>
      <c r="C32" s="299"/>
      <c r="D32" s="299"/>
      <c r="E32" s="299"/>
      <c r="F32" s="111"/>
      <c r="G32" s="18" t="str">
        <f>IF($AJ28&gt;=25,",","")</f>
        <v/>
      </c>
      <c r="H32" s="109"/>
      <c r="I32" s="18" t="str">
        <f>IF($AJ28&gt;25,"/","")</f>
        <v/>
      </c>
      <c r="J32" s="109"/>
      <c r="K32" s="18" t="str">
        <f>IF($AJ28&gt;=26,",","")</f>
        <v/>
      </c>
      <c r="L32" s="109"/>
      <c r="M32" s="18" t="str">
        <f>IF($AJ28&gt;26,"/","")</f>
        <v/>
      </c>
      <c r="N32" s="109"/>
      <c r="O32" s="18" t="str">
        <f>IF($AJ28&gt;=27,",","")</f>
        <v/>
      </c>
      <c r="P32" s="109"/>
      <c r="Q32" s="18" t="str">
        <f>IF($AJ28&gt;27,"/","")</f>
        <v/>
      </c>
      <c r="R32" s="109"/>
      <c r="S32" s="18" t="str">
        <f>IF($AJ28&gt;=28,",","")</f>
        <v/>
      </c>
      <c r="T32" s="109"/>
      <c r="U32" s="18" t="str">
        <f>IF($AJ28&gt;28,"/","")</f>
        <v/>
      </c>
      <c r="V32" s="109"/>
      <c r="W32" s="18" t="str">
        <f>IF($AJ28&gt;=29,",","")</f>
        <v/>
      </c>
      <c r="X32" s="109"/>
      <c r="Y32" s="18" t="str">
        <f>IF($AJ28&gt;29,"/","")</f>
        <v/>
      </c>
      <c r="Z32" s="109"/>
      <c r="AA32" s="18" t="str">
        <f>IF($AJ28&gt;=30,",","")</f>
        <v/>
      </c>
      <c r="AB32" s="109"/>
      <c r="AC32" s="18" t="str">
        <f>IF($AJ28&gt;30,"/","")</f>
        <v/>
      </c>
      <c r="AD32" s="109"/>
      <c r="AE32" s="18" t="str">
        <f>IF($AJ28&gt;=31,",","")</f>
        <v/>
      </c>
      <c r="AF32" s="109"/>
      <c r="AG32" s="18" t="str">
        <f>IF($AJ28&gt;31,"/","")</f>
        <v/>
      </c>
      <c r="AH32" s="109"/>
      <c r="AI32" s="34" t="str">
        <f>IF($AJ28&gt;=32,",","")</f>
        <v/>
      </c>
      <c r="AJ32" s="109"/>
      <c r="AK32" s="21" t="str">
        <f>IF($AJ28&gt;32,"/","")</f>
        <v/>
      </c>
      <c r="AL32" s="313"/>
      <c r="AM32" s="50" t="s">
        <v>78</v>
      </c>
      <c r="AN32" s="337"/>
      <c r="AO32" s="312"/>
      <c r="AP32" s="312"/>
      <c r="AQ32" s="312"/>
      <c r="AR32" s="312"/>
      <c r="AS32" s="312"/>
      <c r="AT32" s="312"/>
      <c r="AU32" s="312"/>
      <c r="AV32" s="312"/>
      <c r="BK32" s="2" t="str">
        <f t="shared" si="3"/>
        <v xml:space="preserve"> </v>
      </c>
      <c r="BL32" s="2" t="s">
        <v>38</v>
      </c>
      <c r="BM32" s="2">
        <v>334</v>
      </c>
      <c r="BN32" s="2">
        <v>334</v>
      </c>
    </row>
    <row r="33" spans="2:76" ht="13.5" thickBot="1" x14ac:dyDescent="0.25">
      <c r="B33" s="298"/>
      <c r="C33" s="299"/>
      <c r="D33" s="299"/>
      <c r="E33" s="299"/>
      <c r="F33" s="111"/>
      <c r="G33" s="18" t="str">
        <f>IF($AJ28&gt;=33,",","")</f>
        <v/>
      </c>
      <c r="H33" s="109"/>
      <c r="I33" s="18" t="str">
        <f>IF($AJ28&gt;33,"/","")</f>
        <v/>
      </c>
      <c r="J33" s="109"/>
      <c r="K33" s="18" t="str">
        <f>IF($AJ28&gt;=34,",","")</f>
        <v/>
      </c>
      <c r="L33" s="109"/>
      <c r="M33" s="18" t="str">
        <f>IF($AJ28&gt;34,"/","")</f>
        <v/>
      </c>
      <c r="N33" s="109"/>
      <c r="O33" s="18" t="str">
        <f>IF($AJ28&gt;=35,",","")</f>
        <v/>
      </c>
      <c r="P33" s="109"/>
      <c r="Q33" s="18" t="str">
        <f>IF($AJ28&gt;35,"/","")</f>
        <v/>
      </c>
      <c r="R33" s="109"/>
      <c r="S33" s="18" t="str">
        <f>IF($AJ28&gt;=36,",","")</f>
        <v/>
      </c>
      <c r="T33" s="109"/>
      <c r="U33" s="18" t="str">
        <f>IF($AJ28&gt;36,"/","")</f>
        <v/>
      </c>
      <c r="V33" s="109"/>
      <c r="W33" s="18" t="str">
        <f>IF($AJ28&gt;=37,",","")</f>
        <v/>
      </c>
      <c r="X33" s="109"/>
      <c r="Y33" s="18" t="str">
        <f>IF($AJ28&gt;37,"/","")</f>
        <v/>
      </c>
      <c r="Z33" s="109"/>
      <c r="AA33" s="18" t="str">
        <f>IF($AJ28&gt;=38,",","")</f>
        <v/>
      </c>
      <c r="AB33" s="109"/>
      <c r="AC33" s="18" t="str">
        <f>IF($AJ28&gt;38,"/","")</f>
        <v/>
      </c>
      <c r="AD33" s="109"/>
      <c r="AE33" s="18" t="str">
        <f>IF($AJ28&gt;=39,",","")</f>
        <v/>
      </c>
      <c r="AF33" s="109"/>
      <c r="AG33" s="34" t="str">
        <f>IF($AJ28&gt;39,"/","")</f>
        <v/>
      </c>
      <c r="AH33" s="109"/>
      <c r="AI33" s="18" t="str">
        <f>IF($AJ28&gt;=40,",","")</f>
        <v/>
      </c>
      <c r="AJ33" s="109"/>
      <c r="AK33" s="21" t="str">
        <f>IF($AJ28&gt;40,"/","")</f>
        <v/>
      </c>
      <c r="AL33" s="313"/>
      <c r="AM33" s="52" t="s">
        <v>79</v>
      </c>
      <c r="AN33" s="337"/>
      <c r="AO33" s="312"/>
      <c r="AP33" s="312"/>
      <c r="AQ33" s="312"/>
      <c r="AR33" s="312"/>
      <c r="AS33" s="312"/>
      <c r="AT33" s="312"/>
      <c r="AU33" s="312"/>
      <c r="AV33" s="312"/>
      <c r="BK33" s="2" t="str">
        <f t="shared" si="3"/>
        <v xml:space="preserve"> </v>
      </c>
      <c r="BL33" s="2" t="s">
        <v>38</v>
      </c>
      <c r="BM33" s="2">
        <v>350</v>
      </c>
      <c r="BN33" s="2">
        <v>350</v>
      </c>
    </row>
    <row r="34" spans="2:76" ht="13.5" thickBot="1" x14ac:dyDescent="0.25">
      <c r="B34" s="300"/>
      <c r="C34" s="301"/>
      <c r="D34" s="301"/>
      <c r="E34" s="301"/>
      <c r="F34" s="112"/>
      <c r="G34" s="24" t="str">
        <f>IF($AJ28&gt;=41,",","")</f>
        <v/>
      </c>
      <c r="H34" s="110"/>
      <c r="I34" s="24" t="str">
        <f>IF($AJ28&gt;41,"/","")</f>
        <v/>
      </c>
      <c r="J34" s="110"/>
      <c r="K34" s="24" t="str">
        <f>IF($AJ28&gt;=42,",","")</f>
        <v/>
      </c>
      <c r="L34" s="110"/>
      <c r="M34" s="24" t="str">
        <f>IF($AJ28&gt;42,"/","")</f>
        <v/>
      </c>
      <c r="N34" s="110"/>
      <c r="O34" s="24" t="str">
        <f>IF($AJ28&gt;=43,",","")</f>
        <v/>
      </c>
      <c r="P34" s="110"/>
      <c r="Q34" s="24" t="str">
        <f>IF($AJ28&gt;43,"/","")</f>
        <v/>
      </c>
      <c r="R34" s="110"/>
      <c r="S34" s="24" t="str">
        <f>IF($AJ28&gt;=44,",","")</f>
        <v/>
      </c>
      <c r="T34" s="110"/>
      <c r="U34" s="24" t="str">
        <f>IF($AJ28&gt;44,"/","")</f>
        <v/>
      </c>
      <c r="V34" s="110"/>
      <c r="W34" s="24" t="str">
        <f>IF($AJ28&gt;=45,",","")</f>
        <v/>
      </c>
      <c r="X34" s="110"/>
      <c r="Y34" s="24" t="str">
        <f>IF($AJ28&gt;45,"/","")</f>
        <v/>
      </c>
      <c r="Z34" s="110"/>
      <c r="AA34" s="24" t="str">
        <f>IF($AJ28&gt;=46,",","")</f>
        <v/>
      </c>
      <c r="AB34" s="110"/>
      <c r="AC34" s="24" t="str">
        <f>IF($AJ28&gt;46,"/","")</f>
        <v/>
      </c>
      <c r="AD34" s="110"/>
      <c r="AE34" s="24" t="str">
        <f>IF($AJ28&gt;=47,",","")</f>
        <v/>
      </c>
      <c r="AF34" s="110"/>
      <c r="AG34" s="24" t="str">
        <f>IF($AJ28&gt;47,"/","")</f>
        <v/>
      </c>
      <c r="AH34" s="110"/>
      <c r="AI34" s="24" t="str">
        <f>IF($AJ28&gt;=48,",","")</f>
        <v/>
      </c>
      <c r="AJ34" s="110"/>
      <c r="AK34" s="25" t="str">
        <f>IF($AJ28&gt;48,"/","")</f>
        <v/>
      </c>
      <c r="AL34" s="314"/>
      <c r="AM34" s="49" t="s">
        <v>80</v>
      </c>
      <c r="AN34" s="337"/>
      <c r="AO34" s="312"/>
      <c r="AP34" s="312"/>
      <c r="AQ34" s="312"/>
      <c r="AR34" s="312"/>
      <c r="AS34" s="312"/>
      <c r="AT34" s="312"/>
      <c r="AU34" s="312"/>
      <c r="AV34" s="312"/>
      <c r="BB34" s="6"/>
      <c r="BK34" s="2" t="str">
        <f t="shared" si="3"/>
        <v xml:space="preserve"> </v>
      </c>
      <c r="BL34" s="2" t="s">
        <v>38</v>
      </c>
      <c r="BM34" s="2">
        <v>368</v>
      </c>
      <c r="BN34" s="2">
        <v>368</v>
      </c>
    </row>
    <row r="35" spans="2:76" ht="7.5" customHeight="1" thickBot="1" x14ac:dyDescent="0.25"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72"/>
      <c r="AM35" s="49"/>
      <c r="AN35" s="28"/>
      <c r="AO35" s="29"/>
      <c r="AP35" s="29"/>
      <c r="AQ35" s="29"/>
      <c r="BK35" s="2" t="str">
        <f t="shared" si="3"/>
        <v xml:space="preserve"> </v>
      </c>
      <c r="BL35" s="2" t="s">
        <v>38</v>
      </c>
      <c r="BM35" s="99">
        <v>487</v>
      </c>
      <c r="BN35" s="99">
        <v>487</v>
      </c>
    </row>
    <row r="36" spans="2:76" ht="26.25" customHeight="1" thickBot="1" x14ac:dyDescent="0.25">
      <c r="B36" s="302" t="s">
        <v>14</v>
      </c>
      <c r="C36" s="303"/>
      <c r="D36" s="303"/>
      <c r="E36" s="304"/>
      <c r="F36" s="108" t="s">
        <v>97</v>
      </c>
      <c r="G36" s="107"/>
      <c r="H36" s="106">
        <v>3</v>
      </c>
      <c r="I36" s="293" t="s">
        <v>25</v>
      </c>
      <c r="J36" s="293"/>
      <c r="K36" s="293"/>
      <c r="L36" s="294"/>
      <c r="M36" s="295" t="s">
        <v>111</v>
      </c>
      <c r="N36" s="295"/>
      <c r="O36" s="292" t="s">
        <v>34</v>
      </c>
      <c r="P36" s="292"/>
      <c r="Q36" s="292"/>
      <c r="R36" s="292"/>
      <c r="S36" s="292"/>
      <c r="T36" s="319"/>
      <c r="U36" s="333"/>
      <c r="V36" s="334" t="s">
        <v>23</v>
      </c>
      <c r="W36" s="327"/>
      <c r="X36" s="327"/>
      <c r="Y36" s="327"/>
      <c r="Z36" s="327"/>
      <c r="AA36" s="295">
        <v>1</v>
      </c>
      <c r="AB36" s="295"/>
      <c r="AC36" s="297" t="s">
        <v>24</v>
      </c>
      <c r="AD36" s="297"/>
      <c r="AE36" s="297"/>
      <c r="AF36" s="297"/>
      <c r="AG36" s="297"/>
      <c r="AH36" s="297"/>
      <c r="AI36" s="297"/>
      <c r="AJ36" s="335">
        <v>2</v>
      </c>
      <c r="AK36" s="336"/>
      <c r="AL36" s="80" t="s">
        <v>103</v>
      </c>
      <c r="AM36" s="49"/>
      <c r="AN36" s="96"/>
      <c r="AO36" s="96"/>
      <c r="AP36" s="96"/>
      <c r="AQ36" s="97"/>
      <c r="AR36" s="28"/>
      <c r="AS36" s="29"/>
      <c r="AT36" s="29"/>
      <c r="AU36" s="29"/>
      <c r="AW36" s="15"/>
      <c r="AX36" s="15"/>
      <c r="AY36" s="6"/>
      <c r="AZ36" s="6"/>
      <c r="BK36" s="2" t="str">
        <f t="shared" si="3"/>
        <v xml:space="preserve"> </v>
      </c>
      <c r="BL36" s="2" t="s">
        <v>38</v>
      </c>
      <c r="BM36" s="99">
        <v>512</v>
      </c>
      <c r="BN36" s="99">
        <v>512</v>
      </c>
    </row>
    <row r="37" spans="2:76" ht="12.75" customHeight="1" thickBot="1" x14ac:dyDescent="0.25">
      <c r="B37" s="298" t="s">
        <v>18</v>
      </c>
      <c r="C37" s="299"/>
      <c r="D37" s="299"/>
      <c r="E37" s="299"/>
      <c r="F37" s="111">
        <v>1</v>
      </c>
      <c r="G37" s="18" t="str">
        <f>IF($AJ36&gt;=1,",","")</f>
        <v>,</v>
      </c>
      <c r="H37" s="109">
        <v>0</v>
      </c>
      <c r="I37" s="18" t="str">
        <f>IF($AJ36&gt;1,"/","")</f>
        <v>/</v>
      </c>
      <c r="J37" s="109">
        <v>3</v>
      </c>
      <c r="K37" s="18" t="str">
        <f>IF($AJ36&gt;=2,",","")</f>
        <v>,</v>
      </c>
      <c r="L37" s="109">
        <v>4</v>
      </c>
      <c r="M37" s="18" t="str">
        <f>IF($AJ36&gt;2,"/","")</f>
        <v/>
      </c>
      <c r="N37" s="109"/>
      <c r="O37" s="18" t="str">
        <f>IF($AJ36&gt;=3,",","")</f>
        <v/>
      </c>
      <c r="P37" s="109"/>
      <c r="Q37" s="18" t="str">
        <f>IF($AJ36&gt;3,"/","")</f>
        <v/>
      </c>
      <c r="R37" s="109"/>
      <c r="S37" s="18" t="str">
        <f>IF($AJ36&gt;=4,",","")</f>
        <v/>
      </c>
      <c r="T37" s="109"/>
      <c r="U37" s="18" t="str">
        <f>IF($AJ36&gt;4,"/","")</f>
        <v/>
      </c>
      <c r="V37" s="109"/>
      <c r="W37" s="18" t="str">
        <f>IF($AJ36&gt;=5,",","")</f>
        <v/>
      </c>
      <c r="X37" s="109"/>
      <c r="Y37" s="18" t="str">
        <f>IF($AJ36&gt;5,"/","")</f>
        <v/>
      </c>
      <c r="Z37" s="109"/>
      <c r="AA37" s="18" t="str">
        <f>IF($AJ36&gt;=6,",","")</f>
        <v/>
      </c>
      <c r="AB37" s="109"/>
      <c r="AC37" s="18" t="str">
        <f>IF($AJ36&gt;6,"/","")</f>
        <v/>
      </c>
      <c r="AD37" s="109"/>
      <c r="AE37" s="18" t="str">
        <f>IF($AJ36&gt;=7,",","")</f>
        <v/>
      </c>
      <c r="AF37" s="109"/>
      <c r="AG37" s="18" t="str">
        <f>IF($AJ36&gt;7,"/","")</f>
        <v/>
      </c>
      <c r="AH37" s="109"/>
      <c r="AI37" s="18" t="str">
        <f>IF($AJ36&gt;=8,",","")</f>
        <v/>
      </c>
      <c r="AJ37" s="109"/>
      <c r="AK37" s="21" t="str">
        <f>IF($AJ36&gt;8,"/","")</f>
        <v/>
      </c>
      <c r="AL37" s="313"/>
      <c r="AM37" s="49"/>
      <c r="AN37" s="337" t="str">
        <f>CONCATENATE(AO37,AP37,AQ37,AR37,AS37,AT37,AU37,AV37)</f>
        <v>1,0/3,4</v>
      </c>
      <c r="AO37" s="312" t="str">
        <f>CONCATENATE(F37,G37,H37,I37,J37,K37,L37,M37,N37,O37,P37,Q37,R37,S37,T37,U37,V37,W37,X37,Y37,Z37,AA37,AB37,AC37,AD37,AE37,AF37,AG37,AH37,AI37)</f>
        <v>1,0/3,4</v>
      </c>
      <c r="AP37" s="312" t="str">
        <f>CONCATENATE(AJ37,AK37,F38,G38,H38,I38,J38,K38,L38,M38,N38,O38,P38,Q38,R38,S38,T38,U38,V38,W38,X38,Y38,Z38,AA38,AB38)</f>
        <v/>
      </c>
      <c r="AQ37" s="312" t="str">
        <f>CONCATENATE(AC38,AD38,AE38,AF38,AG38,AH38,AI38,AJ38,AK38,F39,G39,H39,I39,J39,K39,L39,M39,N39,O39,P39,Q39,R39)</f>
        <v/>
      </c>
      <c r="AR37" s="312" t="str">
        <f>CONCATENATE(S39,T39,U39,V39,W39,X39,Y39,Z39,AA39,AB39,AC39,AD39,AE39,AF39,AG39,AH39,AI39,AJ39,AK39,F40,G40,H40,I40,J40,K40)</f>
        <v/>
      </c>
      <c r="AS37" s="312" t="str">
        <f>CONCATENATE(L40,M40,N40,O40,P40,Q40,R40,S40,T40,U40,V40,W40,X40,Y40,Z40,AA40,AB40,AC40,AD40,AE40,AF40,AG40,AH40,AI40,AJ40,AK40)</f>
        <v/>
      </c>
      <c r="AT37" s="312" t="str">
        <f>CONCATENATE(F41,G41,H41,I41,J41,K41,L41,M41,N41,O41,P41,Q41,R41,S41,T41,U41,V41,W41,X41,Y41,Z41,AA41,AB41,AC41,AD41,AE41)</f>
        <v/>
      </c>
      <c r="AU37" s="312" t="str">
        <f>CONCATENATE(AF41,AG41,AH41,AI41,AJ41,AK41,F42,G42,H42,I42,J42,K42,L42,M42,N42,O42,P42,Q42,R42,S42,T42,U42,V42,W42,X42,Y42)</f>
        <v/>
      </c>
      <c r="AV37" s="312" t="str">
        <f>CONCATENATE(Z42,AA42,AB42,AC42,AD42,AE42,AF42,AG42,AH42,AI42,AJ42,AK42)</f>
        <v/>
      </c>
      <c r="BK37" s="2" t="str">
        <f t="shared" si="3"/>
        <v xml:space="preserve"> </v>
      </c>
      <c r="BL37" s="2" t="s">
        <v>38</v>
      </c>
      <c r="BM37" s="99">
        <v>532</v>
      </c>
      <c r="BN37" s="99">
        <v>532</v>
      </c>
    </row>
    <row r="38" spans="2:76" ht="12.75" customHeight="1" thickBot="1" x14ac:dyDescent="0.25">
      <c r="B38" s="298"/>
      <c r="C38" s="299"/>
      <c r="D38" s="299"/>
      <c r="E38" s="299"/>
      <c r="F38" s="111"/>
      <c r="G38" s="18" t="str">
        <f>IF($AJ36&gt;=9,",","")</f>
        <v/>
      </c>
      <c r="H38" s="109"/>
      <c r="I38" s="18" t="str">
        <f>IF($AJ36&gt;9,"/","")</f>
        <v/>
      </c>
      <c r="J38" s="109"/>
      <c r="K38" s="18" t="str">
        <f>IF($AJ36&gt;=10,",","")</f>
        <v/>
      </c>
      <c r="L38" s="109"/>
      <c r="M38" s="18" t="str">
        <f>IF($AJ36&gt;10,"/","")</f>
        <v/>
      </c>
      <c r="N38" s="109"/>
      <c r="O38" s="18" t="str">
        <f>IF($AJ36&gt;=11,",","")</f>
        <v/>
      </c>
      <c r="P38" s="109"/>
      <c r="Q38" s="18" t="str">
        <f>IF($AJ36&gt;11,"/","")</f>
        <v/>
      </c>
      <c r="R38" s="109"/>
      <c r="S38" s="18" t="str">
        <f>IF($AJ36&gt;=12,",","")</f>
        <v/>
      </c>
      <c r="T38" s="109"/>
      <c r="U38" s="18" t="str">
        <f>IF($AJ36&gt;12,"/","")</f>
        <v/>
      </c>
      <c r="V38" s="109"/>
      <c r="W38" s="18" t="str">
        <f>IF($AJ36&gt;=13,",","")</f>
        <v/>
      </c>
      <c r="X38" s="109"/>
      <c r="Y38" s="18" t="str">
        <f>IF($AJ36&gt;13,"/","")</f>
        <v/>
      </c>
      <c r="Z38" s="109"/>
      <c r="AA38" s="18" t="str">
        <f>IF($AJ36&gt;=14,",","")</f>
        <v/>
      </c>
      <c r="AB38" s="109"/>
      <c r="AC38" s="18" t="str">
        <f>IF($AJ36&gt;14,"/","")</f>
        <v/>
      </c>
      <c r="AD38" s="109"/>
      <c r="AE38" s="18" t="str">
        <f>IF($AJ36&gt;=15,",","")</f>
        <v/>
      </c>
      <c r="AF38" s="109"/>
      <c r="AG38" s="18" t="str">
        <f>IF($AJ36&gt;15,"/","")</f>
        <v/>
      </c>
      <c r="AH38" s="109"/>
      <c r="AI38" s="18" t="str">
        <f>IF($AJ36&gt;=16,",","")</f>
        <v/>
      </c>
      <c r="AJ38" s="109"/>
      <c r="AK38" s="21" t="str">
        <f>IF($AJ36&gt;16,"/","")</f>
        <v/>
      </c>
      <c r="AL38" s="313"/>
      <c r="AM38" s="49"/>
      <c r="AN38" s="337"/>
      <c r="AO38" s="312"/>
      <c r="AP38" s="312"/>
      <c r="AQ38" s="312"/>
      <c r="AR38" s="312"/>
      <c r="AS38" s="312"/>
      <c r="AT38" s="312"/>
      <c r="AU38" s="312"/>
      <c r="AV38" s="312"/>
      <c r="AW38" s="19"/>
      <c r="AX38" s="19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2" t="str">
        <f t="shared" si="3"/>
        <v xml:space="preserve"> </v>
      </c>
      <c r="BL38" s="19" t="s">
        <v>38</v>
      </c>
      <c r="BM38" s="99">
        <v>550</v>
      </c>
      <c r="BN38" s="99">
        <v>550</v>
      </c>
      <c r="BO38" s="19"/>
      <c r="BP38" s="19"/>
      <c r="BQ38" s="19"/>
      <c r="BR38" s="19"/>
      <c r="BS38" s="19"/>
      <c r="BT38" s="19"/>
      <c r="BU38" s="19"/>
      <c r="BV38" s="19"/>
      <c r="BW38" s="19"/>
      <c r="BX38" s="19"/>
    </row>
    <row r="39" spans="2:76" ht="13.5" thickBot="1" x14ac:dyDescent="0.25">
      <c r="B39" s="298"/>
      <c r="C39" s="299"/>
      <c r="D39" s="299"/>
      <c r="E39" s="299"/>
      <c r="F39" s="111"/>
      <c r="G39" s="18" t="str">
        <f>IF($AJ36&gt;=17,",","")</f>
        <v/>
      </c>
      <c r="H39" s="109"/>
      <c r="I39" s="18" t="str">
        <f>IF($AJ36&gt;17,"/","")</f>
        <v/>
      </c>
      <c r="J39" s="109"/>
      <c r="K39" s="18" t="str">
        <f>IF($AJ36&gt;=18,",","")</f>
        <v/>
      </c>
      <c r="L39" s="109"/>
      <c r="M39" s="18" t="str">
        <f>IF($AJ36&gt;18,"/","")</f>
        <v/>
      </c>
      <c r="N39" s="109"/>
      <c r="O39" s="18" t="str">
        <f>IF($AJ36&gt;=19,",","")</f>
        <v/>
      </c>
      <c r="P39" s="109"/>
      <c r="Q39" s="18" t="str">
        <f>IF($AJ36&gt;19,"/","")</f>
        <v/>
      </c>
      <c r="R39" s="109"/>
      <c r="S39" s="18" t="str">
        <f>IF($AJ36&gt;=20,",","")</f>
        <v/>
      </c>
      <c r="T39" s="109"/>
      <c r="U39" s="18" t="str">
        <f>IF($AJ36&gt;20,"/","")</f>
        <v/>
      </c>
      <c r="V39" s="109"/>
      <c r="W39" s="18" t="str">
        <f>IF($AJ36&gt;=21,",","")</f>
        <v/>
      </c>
      <c r="X39" s="109"/>
      <c r="Y39" s="18" t="str">
        <f>IF($AJ36&gt;21,"/","")</f>
        <v/>
      </c>
      <c r="Z39" s="109"/>
      <c r="AA39" s="18" t="str">
        <f>IF($AJ36&gt;=22,",","")</f>
        <v/>
      </c>
      <c r="AB39" s="109"/>
      <c r="AC39" s="18" t="str">
        <f>IF($AJ36&gt;22,"/","")</f>
        <v/>
      </c>
      <c r="AD39" s="109"/>
      <c r="AE39" s="18" t="str">
        <f>IF($AJ36&gt;=23,",","")</f>
        <v/>
      </c>
      <c r="AF39" s="109"/>
      <c r="AG39" s="18" t="str">
        <f>IF($AJ36&gt;23,"/","")</f>
        <v/>
      </c>
      <c r="AH39" s="109"/>
      <c r="AI39" s="18" t="str">
        <f>IF($AJ36&gt;=24,",","")</f>
        <v/>
      </c>
      <c r="AJ39" s="109"/>
      <c r="AK39" s="21" t="str">
        <f>IF($AJ36&gt;24,"/","")</f>
        <v/>
      </c>
      <c r="AL39" s="313"/>
      <c r="AM39" s="49"/>
      <c r="AN39" s="337"/>
      <c r="AO39" s="312"/>
      <c r="AP39" s="312"/>
      <c r="AQ39" s="312"/>
      <c r="AR39" s="312"/>
      <c r="AS39" s="312"/>
      <c r="AT39" s="312"/>
      <c r="AU39" s="312"/>
      <c r="AV39" s="312"/>
      <c r="BK39" s="2" t="str">
        <f t="shared" si="3"/>
        <v xml:space="preserve"> </v>
      </c>
      <c r="BL39" s="2" t="s">
        <v>38</v>
      </c>
      <c r="BM39" s="99">
        <v>583</v>
      </c>
      <c r="BN39" s="99">
        <v>583</v>
      </c>
    </row>
    <row r="40" spans="2:76" ht="13.5" thickBot="1" x14ac:dyDescent="0.25">
      <c r="B40" s="298"/>
      <c r="C40" s="299"/>
      <c r="D40" s="299"/>
      <c r="E40" s="299"/>
      <c r="F40" s="111"/>
      <c r="G40" s="18" t="str">
        <f>IF($AJ36&gt;=25,",","")</f>
        <v/>
      </c>
      <c r="H40" s="109"/>
      <c r="I40" s="18" t="str">
        <f>IF($AJ36&gt;25,"/","")</f>
        <v/>
      </c>
      <c r="J40" s="109"/>
      <c r="K40" s="18" t="str">
        <f>IF($AJ36&gt;=26,",","")</f>
        <v/>
      </c>
      <c r="L40" s="109"/>
      <c r="M40" s="18" t="str">
        <f>IF($AJ36&gt;26,"/","")</f>
        <v/>
      </c>
      <c r="N40" s="109"/>
      <c r="O40" s="18" t="str">
        <f>IF($AJ36&gt;=27,",","")</f>
        <v/>
      </c>
      <c r="P40" s="109"/>
      <c r="Q40" s="18" t="str">
        <f>IF($AJ36&gt;27,"/","")</f>
        <v/>
      </c>
      <c r="R40" s="109"/>
      <c r="S40" s="18" t="str">
        <f>IF($AJ36&gt;=28,",","")</f>
        <v/>
      </c>
      <c r="T40" s="109"/>
      <c r="U40" s="18" t="str">
        <f>IF($AJ36&gt;28,"/","")</f>
        <v/>
      </c>
      <c r="V40" s="109"/>
      <c r="W40" s="18" t="str">
        <f>IF($AJ36&gt;=29,",","")</f>
        <v/>
      </c>
      <c r="X40" s="109"/>
      <c r="Y40" s="18" t="str">
        <f>IF($AJ36&gt;29,"/","")</f>
        <v/>
      </c>
      <c r="Z40" s="109"/>
      <c r="AA40" s="18" t="str">
        <f>IF($AJ36&gt;=30,",","")</f>
        <v/>
      </c>
      <c r="AB40" s="109"/>
      <c r="AC40" s="18" t="str">
        <f>IF($AJ36&gt;30,"/","")</f>
        <v/>
      </c>
      <c r="AD40" s="109"/>
      <c r="AE40" s="18" t="str">
        <f>IF($AJ36&gt;=31,",","")</f>
        <v/>
      </c>
      <c r="AF40" s="109"/>
      <c r="AG40" s="18" t="str">
        <f>IF($AJ36&gt;31,"/","")</f>
        <v/>
      </c>
      <c r="AH40" s="109"/>
      <c r="AI40" s="34" t="str">
        <f>IF($AJ36&gt;=32,",","")</f>
        <v/>
      </c>
      <c r="AJ40" s="109"/>
      <c r="AK40" s="21" t="str">
        <f>IF($AJ36&gt;32,"/","")</f>
        <v/>
      </c>
      <c r="AL40" s="313"/>
      <c r="AM40" s="52"/>
      <c r="AN40" s="337"/>
      <c r="AO40" s="312"/>
      <c r="AP40" s="312"/>
      <c r="AQ40" s="312"/>
      <c r="AR40" s="312"/>
      <c r="AS40" s="312"/>
      <c r="AT40" s="312"/>
      <c r="AU40" s="312"/>
      <c r="AV40" s="312"/>
      <c r="BK40" s="2" t="str">
        <f t="shared" si="3"/>
        <v xml:space="preserve"> </v>
      </c>
      <c r="BL40" s="2" t="s">
        <v>38</v>
      </c>
      <c r="BM40" s="99">
        <v>616</v>
      </c>
      <c r="BN40" s="99">
        <v>616</v>
      </c>
    </row>
    <row r="41" spans="2:76" ht="13.5" thickBot="1" x14ac:dyDescent="0.25">
      <c r="B41" s="298"/>
      <c r="C41" s="299"/>
      <c r="D41" s="299"/>
      <c r="E41" s="299"/>
      <c r="F41" s="111"/>
      <c r="G41" s="18" t="str">
        <f>IF($AJ36&gt;=33,",","")</f>
        <v/>
      </c>
      <c r="H41" s="109"/>
      <c r="I41" s="18" t="str">
        <f>IF($AJ36&gt;33,"/","")</f>
        <v/>
      </c>
      <c r="J41" s="109"/>
      <c r="K41" s="18" t="str">
        <f>IF($AJ36&gt;=34,",","")</f>
        <v/>
      </c>
      <c r="L41" s="109"/>
      <c r="M41" s="18" t="str">
        <f>IF($AJ36&gt;34,"/","")</f>
        <v/>
      </c>
      <c r="N41" s="109"/>
      <c r="O41" s="18" t="str">
        <f>IF($AJ36&gt;=35,",","")</f>
        <v/>
      </c>
      <c r="P41" s="109"/>
      <c r="Q41" s="18" t="str">
        <f>IF($AJ36&gt;35,"/","")</f>
        <v/>
      </c>
      <c r="R41" s="109"/>
      <c r="S41" s="18" t="str">
        <f>IF($AJ36&gt;=36,",","")</f>
        <v/>
      </c>
      <c r="T41" s="109"/>
      <c r="U41" s="18" t="str">
        <f>IF($AJ36&gt;36,"/","")</f>
        <v/>
      </c>
      <c r="V41" s="109"/>
      <c r="W41" s="18" t="str">
        <f>IF($AJ36&gt;=37,",","")</f>
        <v/>
      </c>
      <c r="X41" s="109"/>
      <c r="Y41" s="18" t="str">
        <f>IF($AJ36&gt;37,"/","")</f>
        <v/>
      </c>
      <c r="Z41" s="109"/>
      <c r="AA41" s="18" t="str">
        <f>IF($AJ36&gt;=38,",","")</f>
        <v/>
      </c>
      <c r="AB41" s="109"/>
      <c r="AC41" s="18" t="str">
        <f>IF($AJ36&gt;38,"/","")</f>
        <v/>
      </c>
      <c r="AD41" s="109"/>
      <c r="AE41" s="18" t="str">
        <f>IF($AJ36&gt;=39,",","")</f>
        <v/>
      </c>
      <c r="AF41" s="109"/>
      <c r="AG41" s="34" t="str">
        <f>IF($AJ36&gt;39,"/","")</f>
        <v/>
      </c>
      <c r="AH41" s="109"/>
      <c r="AI41" s="18" t="str">
        <f>IF($AJ36&gt;=40,",","")</f>
        <v/>
      </c>
      <c r="AJ41" s="109"/>
      <c r="AK41" s="21" t="str">
        <f>IF($AJ36&gt;40,"/","")</f>
        <v/>
      </c>
      <c r="AL41" s="313"/>
      <c r="AM41" s="52"/>
      <c r="AN41" s="337"/>
      <c r="AO41" s="312"/>
      <c r="AP41" s="312"/>
      <c r="AQ41" s="312"/>
      <c r="AR41" s="312"/>
      <c r="AS41" s="312"/>
      <c r="AT41" s="312"/>
      <c r="AU41" s="312"/>
      <c r="AV41" s="312"/>
      <c r="BK41" s="2" t="str">
        <f t="shared" si="3"/>
        <v xml:space="preserve"> </v>
      </c>
      <c r="BL41" s="2" t="s">
        <v>38</v>
      </c>
      <c r="BM41" s="99">
        <v>636</v>
      </c>
      <c r="BN41" s="99">
        <v>636</v>
      </c>
    </row>
    <row r="42" spans="2:76" ht="13.5" thickBot="1" x14ac:dyDescent="0.25">
      <c r="B42" s="300"/>
      <c r="C42" s="301"/>
      <c r="D42" s="301"/>
      <c r="E42" s="301"/>
      <c r="F42" s="112"/>
      <c r="G42" s="24" t="str">
        <f>IF($AJ36&gt;=41,",","")</f>
        <v/>
      </c>
      <c r="H42" s="110"/>
      <c r="I42" s="24" t="str">
        <f>IF($AJ36&gt;41,"/","")</f>
        <v/>
      </c>
      <c r="J42" s="110"/>
      <c r="K42" s="24" t="str">
        <f>IF($AJ36&gt;=42,",","")</f>
        <v/>
      </c>
      <c r="L42" s="110"/>
      <c r="M42" s="24" t="str">
        <f>IF($AJ36&gt;42,"/","")</f>
        <v/>
      </c>
      <c r="N42" s="110"/>
      <c r="O42" s="24" t="str">
        <f>IF($AJ36&gt;=43,",","")</f>
        <v/>
      </c>
      <c r="P42" s="110"/>
      <c r="Q42" s="24" t="str">
        <f>IF($AJ36&gt;43,"/","")</f>
        <v/>
      </c>
      <c r="R42" s="110"/>
      <c r="S42" s="24" t="str">
        <f>IF($AJ36&gt;=44,",","")</f>
        <v/>
      </c>
      <c r="T42" s="110"/>
      <c r="U42" s="24" t="str">
        <f>IF($AJ36&gt;44,"/","")</f>
        <v/>
      </c>
      <c r="V42" s="110"/>
      <c r="W42" s="24" t="str">
        <f>IF($AJ36&gt;=45,",","")</f>
        <v/>
      </c>
      <c r="X42" s="110"/>
      <c r="Y42" s="24" t="str">
        <f>IF($AJ36&gt;45,"/","")</f>
        <v/>
      </c>
      <c r="Z42" s="110"/>
      <c r="AA42" s="24" t="str">
        <f>IF($AJ36&gt;=46,",","")</f>
        <v/>
      </c>
      <c r="AB42" s="110"/>
      <c r="AC42" s="24" t="str">
        <f>IF($AJ36&gt;46,"/","")</f>
        <v/>
      </c>
      <c r="AD42" s="110"/>
      <c r="AE42" s="24" t="str">
        <f>IF($AJ36&gt;=47,",","")</f>
        <v/>
      </c>
      <c r="AF42" s="110"/>
      <c r="AG42" s="24" t="str">
        <f>IF($AJ36&gt;47,"/","")</f>
        <v/>
      </c>
      <c r="AH42" s="110"/>
      <c r="AI42" s="24" t="str">
        <f>IF($AJ36&gt;=48,",","")</f>
        <v/>
      </c>
      <c r="AJ42" s="110"/>
      <c r="AK42" s="25" t="str">
        <f>IF($AJ36&gt;48,"/","")</f>
        <v/>
      </c>
      <c r="AL42" s="314"/>
      <c r="AM42" s="49"/>
      <c r="AN42" s="337"/>
      <c r="AO42" s="312"/>
      <c r="AP42" s="312"/>
      <c r="AQ42" s="312"/>
      <c r="AR42" s="312"/>
      <c r="AS42" s="312"/>
      <c r="AT42" s="312"/>
      <c r="AU42" s="312"/>
      <c r="AV42" s="312"/>
      <c r="BB42" s="6"/>
      <c r="BK42" s="2" t="str">
        <f t="shared" si="3"/>
        <v xml:space="preserve"> </v>
      </c>
      <c r="BL42" s="2" t="s">
        <v>38</v>
      </c>
      <c r="BM42" s="99">
        <v>728</v>
      </c>
      <c r="BN42" s="99">
        <v>728</v>
      </c>
    </row>
    <row r="43" spans="2:76" ht="7.5" customHeight="1" thickBot="1" x14ac:dyDescent="0.25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72"/>
      <c r="AM43" s="49"/>
      <c r="AN43" s="28"/>
      <c r="AO43" s="29"/>
      <c r="AP43" s="29"/>
      <c r="AQ43" s="29"/>
    </row>
    <row r="44" spans="2:76" ht="26.25" customHeight="1" thickBot="1" x14ac:dyDescent="0.25">
      <c r="B44" s="302" t="s">
        <v>14</v>
      </c>
      <c r="C44" s="303"/>
      <c r="D44" s="303"/>
      <c r="E44" s="304"/>
      <c r="F44" s="108" t="s">
        <v>97</v>
      </c>
      <c r="G44" s="107"/>
      <c r="H44" s="106">
        <v>2</v>
      </c>
      <c r="I44" s="293" t="s">
        <v>25</v>
      </c>
      <c r="J44" s="293"/>
      <c r="K44" s="293"/>
      <c r="L44" s="294"/>
      <c r="M44" s="295"/>
      <c r="N44" s="295"/>
      <c r="O44" s="292" t="s">
        <v>34</v>
      </c>
      <c r="P44" s="292"/>
      <c r="Q44" s="292"/>
      <c r="R44" s="292"/>
      <c r="S44" s="292"/>
      <c r="T44" s="319" t="s">
        <v>111</v>
      </c>
      <c r="U44" s="333"/>
      <c r="V44" s="334" t="s">
        <v>23</v>
      </c>
      <c r="W44" s="327"/>
      <c r="X44" s="327"/>
      <c r="Y44" s="327"/>
      <c r="Z44" s="327"/>
      <c r="AA44" s="295">
        <v>2</v>
      </c>
      <c r="AB44" s="295"/>
      <c r="AC44" s="297" t="s">
        <v>24</v>
      </c>
      <c r="AD44" s="297"/>
      <c r="AE44" s="297"/>
      <c r="AF44" s="297"/>
      <c r="AG44" s="297"/>
      <c r="AH44" s="297"/>
      <c r="AI44" s="297"/>
      <c r="AJ44" s="335">
        <v>6</v>
      </c>
      <c r="AK44" s="336"/>
      <c r="AL44" s="80" t="s">
        <v>103</v>
      </c>
      <c r="AM44" s="49"/>
      <c r="AN44" s="96"/>
      <c r="AO44" s="96"/>
      <c r="AP44" s="96"/>
      <c r="AQ44" s="97"/>
      <c r="AR44" s="28"/>
      <c r="AS44" s="29"/>
      <c r="AT44" s="29"/>
      <c r="AU44" s="29"/>
      <c r="AW44" s="15"/>
      <c r="AX44" s="15"/>
      <c r="AY44" s="6"/>
      <c r="AZ44" s="6"/>
    </row>
    <row r="45" spans="2:76" ht="12.75" customHeight="1" thickBot="1" x14ac:dyDescent="0.25">
      <c r="B45" s="298" t="s">
        <v>18</v>
      </c>
      <c r="C45" s="299"/>
      <c r="D45" s="299"/>
      <c r="E45" s="299"/>
      <c r="F45" s="111">
        <v>1</v>
      </c>
      <c r="G45" s="18" t="str">
        <f>IF($AJ44&gt;=1,",","")</f>
        <v>,</v>
      </c>
      <c r="H45" s="109">
        <v>0</v>
      </c>
      <c r="I45" s="18" t="str">
        <f>IF($AJ44&gt;1,"/","")</f>
        <v>/</v>
      </c>
      <c r="J45" s="109">
        <v>2</v>
      </c>
      <c r="K45" s="18" t="str">
        <f>IF($AJ44&gt;=2,",","")</f>
        <v>,</v>
      </c>
      <c r="L45" s="109">
        <v>1</v>
      </c>
      <c r="M45" s="18" t="str">
        <f>IF($AJ44&gt;2,"/","")</f>
        <v>/</v>
      </c>
      <c r="N45" s="109">
        <v>3</v>
      </c>
      <c r="O45" s="18" t="str">
        <f>IF($AJ44&gt;=3,",","")</f>
        <v>,</v>
      </c>
      <c r="P45" s="109">
        <v>2</v>
      </c>
      <c r="Q45" s="18" t="str">
        <f>IF($AJ44&gt;3,"/","")</f>
        <v>/</v>
      </c>
      <c r="R45" s="109">
        <v>3</v>
      </c>
      <c r="S45" s="18" t="str">
        <f>IF($AJ44&gt;=4,",","")</f>
        <v>,</v>
      </c>
      <c r="T45" s="109">
        <v>2</v>
      </c>
      <c r="U45" s="18" t="str">
        <f>IF($AJ44&gt;4,"/","")</f>
        <v>/</v>
      </c>
      <c r="V45" s="109">
        <v>1</v>
      </c>
      <c r="W45" s="18" t="str">
        <f>IF($AJ44&gt;=5,",","")</f>
        <v>,</v>
      </c>
      <c r="X45" s="109">
        <v>2</v>
      </c>
      <c r="Y45" s="18" t="str">
        <f>IF($AJ44&gt;5,"/","")</f>
        <v>/</v>
      </c>
      <c r="Z45" s="109">
        <v>0</v>
      </c>
      <c r="AA45" s="18" t="str">
        <f>IF($AJ44&gt;=6,",","")</f>
        <v>,</v>
      </c>
      <c r="AB45" s="109">
        <v>1</v>
      </c>
      <c r="AC45" s="18" t="str">
        <f>IF($AJ44&gt;6,"/","")</f>
        <v/>
      </c>
      <c r="AD45" s="109"/>
      <c r="AE45" s="18" t="str">
        <f>IF($AJ44&gt;=7,",","")</f>
        <v/>
      </c>
      <c r="AF45" s="109"/>
      <c r="AG45" s="18" t="str">
        <f>IF($AJ44&gt;7,"/","")</f>
        <v/>
      </c>
      <c r="AH45" s="109"/>
      <c r="AI45" s="18" t="str">
        <f>IF($AJ44&gt;=8,",","")</f>
        <v/>
      </c>
      <c r="AJ45" s="109"/>
      <c r="AK45" s="21" t="str">
        <f>IF($AJ44&gt;8,"/","")</f>
        <v/>
      </c>
      <c r="AL45" s="313"/>
      <c r="AM45" s="49"/>
      <c r="AN45" s="337" t="str">
        <f>CONCATENATE(AO45,AP45,AQ45,AR45,AS45,AT45,AU45,AV45)</f>
        <v>1,0/2,1/3,2/3,2/1,2/0,1</v>
      </c>
      <c r="AO45" s="312" t="str">
        <f>CONCATENATE(F45,G45,H45,I45,J45,K45,L45,M45,N45,O45,P45,Q45,R45,S45,T45,U45,V45,W45,X45,Y45,Z45,AA45,AB45,AC45,AD45,AE45,AF45,AG45,AH45,AI45)</f>
        <v>1,0/2,1/3,2/3,2/1,2/0,1</v>
      </c>
      <c r="AP45" s="312" t="str">
        <f>CONCATENATE(AJ45,AK45,F46,G46,H46,I46,J46,K46,L46,M46,N46,O46,P46,Q46,R46,S46,T46,U46,V46,W46,X46,Y46,Z46,AA46,AB46)</f>
        <v/>
      </c>
      <c r="AQ45" s="312" t="str">
        <f>CONCATENATE(AC46,AD46,AE46,AF46,AG46,AH46,AI46,AJ46,AK46,F47,G47,H47,I47,J47,K47,L47,M47,N47,O47,P47,Q47,R47)</f>
        <v/>
      </c>
      <c r="AR45" s="312" t="str">
        <f>CONCATENATE(S47,T47,U47,V47,W47,X47,Y47,Z47,AA47,AB47,AC47,AD47,AE47,AF47,AG47,AH47,AI47,AJ47,AK47,F48,G48,H48,I48,J48,K48)</f>
        <v/>
      </c>
      <c r="AS45" s="312" t="str">
        <f>CONCATENATE(L48,M48,N48,O48,P48,Q48,R48,S48,T48,U48,V48,W48,X48,Y48,Z48,AA48,AB48,AC48,AD48,AE48,AF48,AG48,AH48,AI48,AJ48,AK48)</f>
        <v/>
      </c>
      <c r="AT45" s="312" t="str">
        <f>CONCATENATE(F49,G49,H49,I49,J49,K49,L49,M49,N49,O49,P49,Q49,R49,S49,T49,U49,V49,W49,X49,Y49,Z49,AA49,AB49,AC49,AD49,AE49)</f>
        <v/>
      </c>
      <c r="AU45" s="312" t="str">
        <f>CONCATENATE(AF49,AG49,AH49,AI49,AJ49,AK49,F50,G50,H50,I50,J50,K50,L50,M50,N50,O50,P50,Q50,R50,S50,T50,U50,V50,W50,X50,Y50)</f>
        <v/>
      </c>
      <c r="AV45" s="312" t="str">
        <f>CONCATENATE(Z50,AA50,AB50,AC50,AD50,AE50,AF50,AG50,AH50,AI50,AJ50,AK50)</f>
        <v/>
      </c>
    </row>
    <row r="46" spans="2:76" ht="12.75" customHeight="1" thickBot="1" x14ac:dyDescent="0.25">
      <c r="B46" s="298"/>
      <c r="C46" s="299"/>
      <c r="D46" s="299"/>
      <c r="E46" s="299"/>
      <c r="F46" s="111"/>
      <c r="G46" s="18" t="str">
        <f>IF($AJ44&gt;=9,",","")</f>
        <v/>
      </c>
      <c r="H46" s="109"/>
      <c r="I46" s="18" t="str">
        <f>IF($AJ44&gt;9,"/","")</f>
        <v/>
      </c>
      <c r="J46" s="109"/>
      <c r="K46" s="18" t="str">
        <f>IF($AJ44&gt;=10,",","")</f>
        <v/>
      </c>
      <c r="L46" s="109"/>
      <c r="M46" s="18" t="str">
        <f>IF($AJ44&gt;10,"/","")</f>
        <v/>
      </c>
      <c r="N46" s="109"/>
      <c r="O46" s="18" t="str">
        <f>IF($AJ44&gt;=11,",","")</f>
        <v/>
      </c>
      <c r="P46" s="109"/>
      <c r="Q46" s="18" t="str">
        <f>IF($AJ44&gt;11,"/","")</f>
        <v/>
      </c>
      <c r="R46" s="109"/>
      <c r="S46" s="18" t="str">
        <f>IF($AJ44&gt;=12,",","")</f>
        <v/>
      </c>
      <c r="T46" s="109"/>
      <c r="U46" s="18" t="str">
        <f>IF($AJ44&gt;12,"/","")</f>
        <v/>
      </c>
      <c r="V46" s="109"/>
      <c r="W46" s="18" t="str">
        <f>IF($AJ44&gt;=13,",","")</f>
        <v/>
      </c>
      <c r="X46" s="109"/>
      <c r="Y46" s="18" t="str">
        <f>IF($AJ44&gt;13,"/","")</f>
        <v/>
      </c>
      <c r="Z46" s="109"/>
      <c r="AA46" s="18" t="str">
        <f>IF($AJ44&gt;=14,",","")</f>
        <v/>
      </c>
      <c r="AB46" s="109"/>
      <c r="AC46" s="18" t="str">
        <f>IF($AJ44&gt;14,"/","")</f>
        <v/>
      </c>
      <c r="AD46" s="109"/>
      <c r="AE46" s="18" t="str">
        <f>IF($AJ44&gt;=15,",","")</f>
        <v/>
      </c>
      <c r="AF46" s="109"/>
      <c r="AG46" s="18" t="str">
        <f>IF($AJ44&gt;15,"/","")</f>
        <v/>
      </c>
      <c r="AH46" s="109"/>
      <c r="AI46" s="18" t="str">
        <f>IF($AJ44&gt;=16,",","")</f>
        <v/>
      </c>
      <c r="AJ46" s="109"/>
      <c r="AK46" s="21" t="str">
        <f>IF($AJ44&gt;16,"/","")</f>
        <v/>
      </c>
      <c r="AL46" s="313"/>
      <c r="AM46" s="49"/>
      <c r="AN46" s="337"/>
      <c r="AO46" s="312"/>
      <c r="AP46" s="312"/>
      <c r="AQ46" s="312"/>
      <c r="AR46" s="312"/>
      <c r="AS46" s="312"/>
      <c r="AT46" s="312"/>
      <c r="AU46" s="312"/>
      <c r="AV46" s="312"/>
      <c r="AW46" s="19"/>
      <c r="AX46" s="19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</row>
    <row r="47" spans="2:76" ht="13.5" thickBot="1" x14ac:dyDescent="0.25">
      <c r="B47" s="298"/>
      <c r="C47" s="299"/>
      <c r="D47" s="299"/>
      <c r="E47" s="299"/>
      <c r="F47" s="111"/>
      <c r="G47" s="18" t="str">
        <f>IF($AJ44&gt;=17,",","")</f>
        <v/>
      </c>
      <c r="H47" s="109"/>
      <c r="I47" s="18" t="str">
        <f>IF($AJ44&gt;17,"/","")</f>
        <v/>
      </c>
      <c r="J47" s="109"/>
      <c r="K47" s="18" t="str">
        <f>IF($AJ44&gt;=18,",","")</f>
        <v/>
      </c>
      <c r="L47" s="109"/>
      <c r="M47" s="18" t="str">
        <f>IF($AJ44&gt;18,"/","")</f>
        <v/>
      </c>
      <c r="N47" s="109"/>
      <c r="O47" s="18" t="str">
        <f>IF($AJ44&gt;=19,",","")</f>
        <v/>
      </c>
      <c r="P47" s="109"/>
      <c r="Q47" s="18" t="str">
        <f>IF($AJ44&gt;19,"/","")</f>
        <v/>
      </c>
      <c r="R47" s="109"/>
      <c r="S47" s="18" t="str">
        <f>IF($AJ44&gt;=20,",","")</f>
        <v/>
      </c>
      <c r="T47" s="109"/>
      <c r="U47" s="18" t="str">
        <f>IF($AJ44&gt;20,"/","")</f>
        <v/>
      </c>
      <c r="V47" s="109"/>
      <c r="W47" s="18" t="str">
        <f>IF($AJ44&gt;=21,",","")</f>
        <v/>
      </c>
      <c r="X47" s="109"/>
      <c r="Y47" s="18" t="str">
        <f>IF($AJ44&gt;21,"/","")</f>
        <v/>
      </c>
      <c r="Z47" s="109"/>
      <c r="AA47" s="18" t="str">
        <f>IF($AJ44&gt;=22,",","")</f>
        <v/>
      </c>
      <c r="AB47" s="109"/>
      <c r="AC47" s="18" t="str">
        <f>IF($AJ44&gt;22,"/","")</f>
        <v/>
      </c>
      <c r="AD47" s="109"/>
      <c r="AE47" s="18" t="str">
        <f>IF($AJ44&gt;=23,",","")</f>
        <v/>
      </c>
      <c r="AF47" s="109"/>
      <c r="AG47" s="18" t="str">
        <f>IF($AJ44&gt;23,"/","")</f>
        <v/>
      </c>
      <c r="AH47" s="109"/>
      <c r="AI47" s="18" t="str">
        <f>IF($AJ44&gt;=24,",","")</f>
        <v/>
      </c>
      <c r="AJ47" s="109"/>
      <c r="AK47" s="21" t="str">
        <f>IF($AJ44&gt;24,"/","")</f>
        <v/>
      </c>
      <c r="AL47" s="313"/>
      <c r="AM47" s="49"/>
      <c r="AN47" s="337"/>
      <c r="AO47" s="312"/>
      <c r="AP47" s="312"/>
      <c r="AQ47" s="312"/>
      <c r="AR47" s="312"/>
      <c r="AS47" s="312"/>
      <c r="AT47" s="312"/>
      <c r="AU47" s="312"/>
      <c r="AV47" s="312"/>
    </row>
    <row r="48" spans="2:76" ht="13.5" thickBot="1" x14ac:dyDescent="0.25">
      <c r="B48" s="298"/>
      <c r="C48" s="299"/>
      <c r="D48" s="299"/>
      <c r="E48" s="299"/>
      <c r="F48" s="111"/>
      <c r="G48" s="18" t="str">
        <f>IF($AJ44&gt;=25,",","")</f>
        <v/>
      </c>
      <c r="H48" s="109"/>
      <c r="I48" s="18" t="str">
        <f>IF($AJ44&gt;25,"/","")</f>
        <v/>
      </c>
      <c r="J48" s="109"/>
      <c r="K48" s="18" t="str">
        <f>IF($AJ44&gt;=26,",","")</f>
        <v/>
      </c>
      <c r="L48" s="109"/>
      <c r="M48" s="18" t="str">
        <f>IF($AJ44&gt;26,"/","")</f>
        <v/>
      </c>
      <c r="N48" s="109"/>
      <c r="O48" s="18" t="str">
        <f>IF($AJ44&gt;=27,",","")</f>
        <v/>
      </c>
      <c r="P48" s="109"/>
      <c r="Q48" s="18" t="str">
        <f>IF($AJ44&gt;27,"/","")</f>
        <v/>
      </c>
      <c r="R48" s="109"/>
      <c r="S48" s="18" t="str">
        <f>IF($AJ44&gt;=28,",","")</f>
        <v/>
      </c>
      <c r="T48" s="109"/>
      <c r="U48" s="18" t="str">
        <f>IF($AJ44&gt;28,"/","")</f>
        <v/>
      </c>
      <c r="V48" s="109"/>
      <c r="W48" s="18" t="str">
        <f>IF($AJ44&gt;=29,",","")</f>
        <v/>
      </c>
      <c r="X48" s="109"/>
      <c r="Y48" s="18" t="str">
        <f>IF($AJ44&gt;29,"/","")</f>
        <v/>
      </c>
      <c r="Z48" s="109"/>
      <c r="AA48" s="18" t="str">
        <f>IF($AJ44&gt;=30,",","")</f>
        <v/>
      </c>
      <c r="AB48" s="109"/>
      <c r="AC48" s="18" t="str">
        <f>IF($AJ44&gt;30,"/","")</f>
        <v/>
      </c>
      <c r="AD48" s="109"/>
      <c r="AE48" s="18" t="str">
        <f>IF($AJ44&gt;=31,",","")</f>
        <v/>
      </c>
      <c r="AF48" s="109"/>
      <c r="AG48" s="18" t="str">
        <f>IF($AJ44&gt;31,"/","")</f>
        <v/>
      </c>
      <c r="AH48" s="109"/>
      <c r="AI48" s="34" t="str">
        <f>IF($AJ44&gt;=32,",","")</f>
        <v/>
      </c>
      <c r="AJ48" s="109"/>
      <c r="AK48" s="21" t="str">
        <f>IF($AJ44&gt;32,"/","")</f>
        <v/>
      </c>
      <c r="AL48" s="313"/>
      <c r="AM48" s="52"/>
      <c r="AN48" s="337"/>
      <c r="AO48" s="312"/>
      <c r="AP48" s="312"/>
      <c r="AQ48" s="312"/>
      <c r="AR48" s="312"/>
      <c r="AS48" s="312"/>
      <c r="AT48" s="312"/>
      <c r="AU48" s="312"/>
      <c r="AV48" s="312"/>
    </row>
    <row r="49" spans="2:54" ht="13.5" thickBot="1" x14ac:dyDescent="0.25">
      <c r="B49" s="298"/>
      <c r="C49" s="299"/>
      <c r="D49" s="299"/>
      <c r="E49" s="299"/>
      <c r="F49" s="111"/>
      <c r="G49" s="18" t="str">
        <f>IF($AJ44&gt;=33,",","")</f>
        <v/>
      </c>
      <c r="H49" s="109"/>
      <c r="I49" s="18" t="str">
        <f>IF($AJ44&gt;33,"/","")</f>
        <v/>
      </c>
      <c r="J49" s="109"/>
      <c r="K49" s="18" t="str">
        <f>IF($AJ44&gt;=34,",","")</f>
        <v/>
      </c>
      <c r="L49" s="109"/>
      <c r="M49" s="18" t="str">
        <f>IF($AJ44&gt;34,"/","")</f>
        <v/>
      </c>
      <c r="N49" s="109"/>
      <c r="O49" s="18" t="str">
        <f>IF($AJ44&gt;=35,",","")</f>
        <v/>
      </c>
      <c r="P49" s="109"/>
      <c r="Q49" s="18" t="str">
        <f>IF($AJ44&gt;35,"/","")</f>
        <v/>
      </c>
      <c r="R49" s="109"/>
      <c r="S49" s="18" t="str">
        <f>IF($AJ44&gt;=36,",","")</f>
        <v/>
      </c>
      <c r="T49" s="109"/>
      <c r="U49" s="18" t="str">
        <f>IF($AJ44&gt;36,"/","")</f>
        <v/>
      </c>
      <c r="V49" s="109"/>
      <c r="W49" s="18" t="str">
        <f>IF($AJ44&gt;=37,",","")</f>
        <v/>
      </c>
      <c r="X49" s="109"/>
      <c r="Y49" s="18" t="str">
        <f>IF($AJ44&gt;37,"/","")</f>
        <v/>
      </c>
      <c r="Z49" s="109"/>
      <c r="AA49" s="18" t="str">
        <f>IF($AJ44&gt;=38,",","")</f>
        <v/>
      </c>
      <c r="AB49" s="109"/>
      <c r="AC49" s="18" t="str">
        <f>IF($AJ44&gt;38,"/","")</f>
        <v/>
      </c>
      <c r="AD49" s="109"/>
      <c r="AE49" s="18" t="str">
        <f>IF($AJ44&gt;=39,",","")</f>
        <v/>
      </c>
      <c r="AF49" s="109"/>
      <c r="AG49" s="34" t="str">
        <f>IF($AJ44&gt;39,"/","")</f>
        <v/>
      </c>
      <c r="AH49" s="109"/>
      <c r="AI49" s="18" t="str">
        <f>IF($AJ44&gt;=40,",","")</f>
        <v/>
      </c>
      <c r="AJ49" s="109"/>
      <c r="AK49" s="21" t="str">
        <f>IF($AJ44&gt;40,"/","")</f>
        <v/>
      </c>
      <c r="AL49" s="313"/>
      <c r="AM49" s="52"/>
      <c r="AN49" s="337"/>
      <c r="AO49" s="312"/>
      <c r="AP49" s="312"/>
      <c r="AQ49" s="312"/>
      <c r="AR49" s="312"/>
      <c r="AS49" s="312"/>
      <c r="AT49" s="312"/>
      <c r="AU49" s="312"/>
      <c r="AV49" s="312"/>
    </row>
    <row r="50" spans="2:54" ht="13.5" thickBot="1" x14ac:dyDescent="0.25">
      <c r="B50" s="300"/>
      <c r="C50" s="301"/>
      <c r="D50" s="301"/>
      <c r="E50" s="301"/>
      <c r="F50" s="112"/>
      <c r="G50" s="24" t="str">
        <f>IF($AJ44&gt;=41,",","")</f>
        <v/>
      </c>
      <c r="H50" s="110"/>
      <c r="I50" s="24" t="str">
        <f>IF($AJ44&gt;41,"/","")</f>
        <v/>
      </c>
      <c r="J50" s="110"/>
      <c r="K50" s="24" t="str">
        <f>IF($AJ44&gt;=42,",","")</f>
        <v/>
      </c>
      <c r="L50" s="110"/>
      <c r="M50" s="24" t="str">
        <f>IF($AJ44&gt;42,"/","")</f>
        <v/>
      </c>
      <c r="N50" s="110"/>
      <c r="O50" s="24" t="str">
        <f>IF($AJ44&gt;=43,",","")</f>
        <v/>
      </c>
      <c r="P50" s="110"/>
      <c r="Q50" s="24" t="str">
        <f>IF($AJ44&gt;43,"/","")</f>
        <v/>
      </c>
      <c r="R50" s="110"/>
      <c r="S50" s="24" t="str">
        <f>IF($AJ44&gt;=44,",","")</f>
        <v/>
      </c>
      <c r="T50" s="110"/>
      <c r="U50" s="24" t="str">
        <f>IF($AJ44&gt;44,"/","")</f>
        <v/>
      </c>
      <c r="V50" s="110"/>
      <c r="W50" s="24" t="str">
        <f>IF($AJ44&gt;=45,",","")</f>
        <v/>
      </c>
      <c r="X50" s="110"/>
      <c r="Y50" s="24" t="str">
        <f>IF($AJ44&gt;45,"/","")</f>
        <v/>
      </c>
      <c r="Z50" s="110"/>
      <c r="AA50" s="24" t="str">
        <f>IF($AJ44&gt;=46,",","")</f>
        <v/>
      </c>
      <c r="AB50" s="110"/>
      <c r="AC50" s="24" t="str">
        <f>IF($AJ44&gt;46,"/","")</f>
        <v/>
      </c>
      <c r="AD50" s="110"/>
      <c r="AE50" s="24" t="str">
        <f>IF($AJ44&gt;=47,",","")</f>
        <v/>
      </c>
      <c r="AF50" s="110"/>
      <c r="AG50" s="24" t="str">
        <f>IF($AJ44&gt;47,"/","")</f>
        <v/>
      </c>
      <c r="AH50" s="110"/>
      <c r="AI50" s="24" t="str">
        <f>IF($AJ44&gt;=48,",","")</f>
        <v/>
      </c>
      <c r="AJ50" s="110"/>
      <c r="AK50" s="25" t="str">
        <f>IF($AJ44&gt;48,"/","")</f>
        <v/>
      </c>
      <c r="AL50" s="314"/>
      <c r="AM50" s="49"/>
      <c r="AN50" s="337"/>
      <c r="AO50" s="312"/>
      <c r="AP50" s="312"/>
      <c r="AQ50" s="312"/>
      <c r="AR50" s="312"/>
      <c r="AS50" s="312"/>
      <c r="AT50" s="312"/>
      <c r="AU50" s="312"/>
      <c r="AV50" s="312"/>
      <c r="BB50" s="6"/>
    </row>
    <row r="51" spans="2:54" ht="7.5" customHeight="1" x14ac:dyDescent="0.2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73"/>
      <c r="AM51" s="49"/>
      <c r="AP51" s="17"/>
      <c r="AQ51" s="17"/>
    </row>
    <row r="52" spans="2:54" ht="7.5" customHeight="1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73"/>
      <c r="AM52" s="49"/>
    </row>
    <row r="53" spans="2:54" x14ac:dyDescent="0.2">
      <c r="B53" s="199" t="s">
        <v>5</v>
      </c>
      <c r="C53" s="200"/>
      <c r="D53" s="200"/>
      <c r="E53" s="200"/>
      <c r="F53" s="200"/>
      <c r="G53" s="200"/>
      <c r="H53" s="200"/>
      <c r="I53" s="200"/>
      <c r="J53" s="200"/>
      <c r="K53" s="201"/>
      <c r="M53" s="19"/>
      <c r="V53" s="2" t="s">
        <v>7</v>
      </c>
      <c r="X53" s="227" t="s">
        <v>6</v>
      </c>
      <c r="Y53" s="228"/>
      <c r="Z53" s="228"/>
      <c r="AA53" s="228"/>
      <c r="AB53" s="228"/>
      <c r="AC53" s="228"/>
      <c r="AD53" s="228"/>
      <c r="AE53" s="228"/>
      <c r="AF53" s="229"/>
      <c r="AM53" s="49"/>
    </row>
    <row r="54" spans="2:54" ht="23.25" customHeight="1" x14ac:dyDescent="0.2">
      <c r="B54" s="192" t="s">
        <v>110</v>
      </c>
      <c r="C54" s="193"/>
      <c r="D54" s="193"/>
      <c r="E54" s="193"/>
      <c r="F54" s="193"/>
      <c r="G54" s="193"/>
      <c r="H54" s="193"/>
      <c r="I54" s="193"/>
      <c r="J54" s="193"/>
      <c r="K54" s="194"/>
      <c r="X54" s="8"/>
      <c r="Y54" s="8"/>
      <c r="Z54" s="8"/>
      <c r="AA54" s="8"/>
      <c r="AB54" s="8"/>
      <c r="AC54" s="8"/>
      <c r="AD54" s="8"/>
      <c r="AE54" s="8"/>
      <c r="AM54" s="49"/>
    </row>
    <row r="55" spans="2:54" ht="12.75" customHeight="1" x14ac:dyDescent="0.2">
      <c r="B55" s="2" t="s">
        <v>8</v>
      </c>
      <c r="C55" s="4"/>
      <c r="D55" s="3"/>
      <c r="L55" s="82"/>
      <c r="M55" s="82"/>
      <c r="N55" s="82"/>
      <c r="O55" s="82"/>
      <c r="P55" s="82"/>
      <c r="Q55" s="82"/>
      <c r="R55" s="82"/>
      <c r="S55" s="7"/>
      <c r="V55" s="225" t="s">
        <v>19</v>
      </c>
      <c r="W55" s="225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5"/>
      <c r="AI55" s="225"/>
      <c r="AJ55" s="225"/>
      <c r="AK55" s="225"/>
      <c r="AL55" s="75"/>
      <c r="AM55" s="49"/>
    </row>
    <row r="56" spans="2:54" ht="20.25" customHeight="1" x14ac:dyDescent="0.2">
      <c r="B56" s="82" t="s">
        <v>0</v>
      </c>
      <c r="C56" s="82"/>
      <c r="D56" s="82"/>
      <c r="E56" s="82"/>
      <c r="F56" s="82"/>
      <c r="G56" s="82"/>
      <c r="H56" s="82"/>
      <c r="I56" s="82"/>
      <c r="J56" s="82"/>
      <c r="K56" s="82"/>
      <c r="L56" s="85"/>
      <c r="M56" s="85"/>
      <c r="N56" s="85"/>
      <c r="O56" s="85"/>
      <c r="P56" s="85"/>
      <c r="Q56" s="85"/>
      <c r="R56" s="85"/>
      <c r="S56" s="7"/>
      <c r="V56" s="230" t="s">
        <v>3</v>
      </c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0"/>
      <c r="AK56" s="230"/>
      <c r="AL56" s="76"/>
    </row>
    <row r="57" spans="2:54" ht="12.75" customHeight="1" x14ac:dyDescent="0.2">
      <c r="B57" s="85" t="s">
        <v>1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7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76"/>
    </row>
    <row r="58" spans="2:54" ht="14.25" customHeight="1" x14ac:dyDescent="0.2">
      <c r="B58" s="85" t="s">
        <v>4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76"/>
    </row>
    <row r="59" spans="2:54" ht="12.75" customHeight="1" x14ac:dyDescent="0.2">
      <c r="B59" s="85" t="s">
        <v>15</v>
      </c>
      <c r="C59" s="85"/>
      <c r="D59" s="85"/>
      <c r="E59" s="85"/>
      <c r="F59" s="85"/>
      <c r="G59" s="85"/>
      <c r="H59" s="85"/>
      <c r="I59" s="85"/>
      <c r="J59" s="85"/>
      <c r="K59" s="85"/>
      <c r="L59" s="84"/>
      <c r="M59" s="84"/>
      <c r="N59" s="84"/>
      <c r="O59" s="84"/>
      <c r="P59" s="84"/>
      <c r="Q59" s="84"/>
      <c r="R59" s="84"/>
      <c r="V59" s="191" t="s">
        <v>26</v>
      </c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79"/>
    </row>
    <row r="60" spans="2:54" ht="12.75" customHeight="1" x14ac:dyDescent="0.2">
      <c r="B60" s="83" t="s">
        <v>17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81"/>
      <c r="AM60" s="53"/>
    </row>
    <row r="61" spans="2:54" ht="12.75" customHeight="1" x14ac:dyDescent="0.2">
      <c r="B61" s="84"/>
      <c r="C61" s="84"/>
      <c r="D61" s="84"/>
      <c r="E61" s="84"/>
      <c r="F61" s="84"/>
      <c r="G61" s="84"/>
      <c r="H61" s="84"/>
      <c r="I61" s="84"/>
      <c r="J61" s="84"/>
      <c r="K61" s="84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76"/>
      <c r="AM61" s="54"/>
    </row>
    <row r="62" spans="2:54" ht="12.75" customHeight="1" x14ac:dyDescent="0.2"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M62" s="54"/>
    </row>
    <row r="63" spans="2:54" ht="12.75" customHeight="1" x14ac:dyDescent="0.2">
      <c r="V63" s="230"/>
      <c r="W63" s="230"/>
      <c r="X63" s="230"/>
      <c r="Y63" s="230"/>
      <c r="Z63" s="230"/>
      <c r="AA63" s="230"/>
      <c r="AB63" s="230"/>
      <c r="AC63" s="230"/>
      <c r="AD63" s="230"/>
      <c r="AE63" s="230"/>
      <c r="AF63" s="230"/>
      <c r="AG63" s="230"/>
      <c r="AH63" s="230"/>
      <c r="AI63" s="230"/>
      <c r="AJ63" s="230"/>
      <c r="AK63" s="230"/>
      <c r="AM63" s="54"/>
    </row>
    <row r="64" spans="2:54" x14ac:dyDescent="0.2">
      <c r="V64" s="230"/>
      <c r="W64" s="230"/>
      <c r="X64" s="230"/>
      <c r="Y64" s="230"/>
      <c r="Z64" s="230"/>
      <c r="AA64" s="230"/>
      <c r="AB64" s="230"/>
      <c r="AC64" s="230"/>
      <c r="AD64" s="230"/>
      <c r="AE64" s="230"/>
      <c r="AF64" s="230"/>
      <c r="AG64" s="230"/>
      <c r="AH64" s="230"/>
      <c r="AI64" s="230"/>
      <c r="AJ64" s="230"/>
      <c r="AK64" s="230"/>
      <c r="AL64" s="75"/>
      <c r="AM64" s="55"/>
    </row>
    <row r="65" spans="22:39" x14ac:dyDescent="0.2">
      <c r="V65" s="230"/>
      <c r="W65" s="230"/>
      <c r="X65" s="230"/>
      <c r="Y65" s="230"/>
      <c r="Z65" s="230"/>
      <c r="AA65" s="230"/>
      <c r="AB65" s="230"/>
      <c r="AC65" s="230"/>
      <c r="AD65" s="230"/>
      <c r="AE65" s="230"/>
      <c r="AF65" s="230"/>
      <c r="AG65" s="230"/>
      <c r="AH65" s="230"/>
      <c r="AI65" s="230"/>
      <c r="AJ65" s="230"/>
      <c r="AK65" s="230"/>
      <c r="AL65" s="76"/>
      <c r="AM65" s="56"/>
    </row>
    <row r="66" spans="22:39" x14ac:dyDescent="0.2">
      <c r="V66" s="225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76"/>
      <c r="AM66" s="54"/>
    </row>
    <row r="67" spans="22:39" x14ac:dyDescent="0.2">
      <c r="AL67" s="76"/>
      <c r="AM67" s="54"/>
    </row>
    <row r="68" spans="22:39" x14ac:dyDescent="0.2">
      <c r="AL68" s="77"/>
      <c r="AM68" s="54"/>
    </row>
    <row r="69" spans="22:39" x14ac:dyDescent="0.2">
      <c r="AL69" s="77"/>
      <c r="AM69" s="54"/>
    </row>
    <row r="70" spans="22:39" x14ac:dyDescent="0.2">
      <c r="AL70" s="77"/>
      <c r="AM70" s="54"/>
    </row>
    <row r="71" spans="22:39" x14ac:dyDescent="0.2">
      <c r="AL71" s="78"/>
      <c r="AM71" s="55"/>
    </row>
    <row r="72" spans="22:39" x14ac:dyDescent="0.2">
      <c r="AL72" s="76"/>
    </row>
    <row r="73" spans="22:39" x14ac:dyDescent="0.2">
      <c r="AL73" s="76"/>
    </row>
    <row r="74" spans="22:39" x14ac:dyDescent="0.2">
      <c r="AL74" s="76"/>
    </row>
    <row r="75" spans="22:39" x14ac:dyDescent="0.2">
      <c r="AL75" s="79"/>
    </row>
  </sheetData>
  <sheetProtection password="CB97" sheet="1" formatCells="0" formatColumns="0" formatRows="0" insertColumns="0" insertRows="0" insertHyperlinks="0" deleteColumns="0" deleteRows="0" selectLockedCells="1" sort="0" autoFilter="0" pivotTables="0"/>
  <mergeCells count="132">
    <mergeCell ref="U15:V15"/>
    <mergeCell ref="AE12:AK12"/>
    <mergeCell ref="AE15:AK15"/>
    <mergeCell ref="O14:V14"/>
    <mergeCell ref="W14:AD14"/>
    <mergeCell ref="W15:AD15"/>
    <mergeCell ref="B54:K54"/>
    <mergeCell ref="F20:G20"/>
    <mergeCell ref="I14:N14"/>
    <mergeCell ref="L15:T15"/>
    <mergeCell ref="B15:F15"/>
    <mergeCell ref="G15:H15"/>
    <mergeCell ref="I15:K15"/>
    <mergeCell ref="T36:U36"/>
    <mergeCell ref="B53:K53"/>
    <mergeCell ref="B28:E28"/>
    <mergeCell ref="J17:Q17"/>
    <mergeCell ref="J18:K18"/>
    <mergeCell ref="N18:O18"/>
    <mergeCell ref="L18:M18"/>
    <mergeCell ref="B45:E50"/>
    <mergeCell ref="B37:E42"/>
    <mergeCell ref="B44:E44"/>
    <mergeCell ref="B36:E36"/>
    <mergeCell ref="AS21:AS26"/>
    <mergeCell ref="AU21:AU26"/>
    <mergeCell ref="AT21:AT26"/>
    <mergeCell ref="AL21:AL26"/>
    <mergeCell ref="AI17:AK17"/>
    <mergeCell ref="V17:AH17"/>
    <mergeCell ref="T18:U18"/>
    <mergeCell ref="T20:U20"/>
    <mergeCell ref="P18:Q18"/>
    <mergeCell ref="V18:AG18"/>
    <mergeCell ref="V20:Z20"/>
    <mergeCell ref="AC20:AI20"/>
    <mergeCell ref="AA20:AB20"/>
    <mergeCell ref="AJ18:AK18"/>
    <mergeCell ref="AJ20:AK20"/>
    <mergeCell ref="AH18:AI18"/>
    <mergeCell ref="AW21:AW26"/>
    <mergeCell ref="AN45:AN50"/>
    <mergeCell ref="AO45:AO50"/>
    <mergeCell ref="AS37:AS42"/>
    <mergeCell ref="AN37:AN42"/>
    <mergeCell ref="AO37:AO42"/>
    <mergeCell ref="AP37:AP42"/>
    <mergeCell ref="AQ37:AQ42"/>
    <mergeCell ref="AV45:AV50"/>
    <mergeCell ref="AR45:AR50"/>
    <mergeCell ref="AV37:AV42"/>
    <mergeCell ref="AU37:AU42"/>
    <mergeCell ref="AV29:AV34"/>
    <mergeCell ref="AV21:AV26"/>
    <mergeCell ref="AU29:AU34"/>
    <mergeCell ref="AU45:AU50"/>
    <mergeCell ref="AO21:AO26"/>
    <mergeCell ref="AN29:AN34"/>
    <mergeCell ref="AO29:AO34"/>
    <mergeCell ref="AP21:AP26"/>
    <mergeCell ref="AS29:AS34"/>
    <mergeCell ref="AT29:AT34"/>
    <mergeCell ref="AP29:AP34"/>
    <mergeCell ref="AQ29:AQ34"/>
    <mergeCell ref="AR29:AR34"/>
    <mergeCell ref="AQ21:AQ26"/>
    <mergeCell ref="AR21:AR26"/>
    <mergeCell ref="V66:AK66"/>
    <mergeCell ref="X53:AF53"/>
    <mergeCell ref="T44:U44"/>
    <mergeCell ref="V44:Z44"/>
    <mergeCell ref="V63:AK65"/>
    <mergeCell ref="V56:AK58"/>
    <mergeCell ref="V55:AK55"/>
    <mergeCell ref="V59:AK61"/>
    <mergeCell ref="AC44:AI44"/>
    <mergeCell ref="V36:Z36"/>
    <mergeCell ref="AA36:AB36"/>
    <mergeCell ref="AA44:AB44"/>
    <mergeCell ref="T28:U28"/>
    <mergeCell ref="AJ28:AK28"/>
    <mergeCell ref="V28:Z28"/>
    <mergeCell ref="AA28:AB28"/>
    <mergeCell ref="AC28:AI28"/>
    <mergeCell ref="AJ44:AK44"/>
    <mergeCell ref="AJ36:AK36"/>
    <mergeCell ref="AC36:AI36"/>
    <mergeCell ref="AT45:AT50"/>
    <mergeCell ref="AQ45:AQ50"/>
    <mergeCell ref="AP45:AP50"/>
    <mergeCell ref="AR37:AR42"/>
    <mergeCell ref="AT37:AT42"/>
    <mergeCell ref="AS45:AS50"/>
    <mergeCell ref="AL45:AL50"/>
    <mergeCell ref="AL37:AL42"/>
    <mergeCell ref="B9:AK9"/>
    <mergeCell ref="AE14:AK14"/>
    <mergeCell ref="AG10:AK10"/>
    <mergeCell ref="O12:V12"/>
    <mergeCell ref="B14:F14"/>
    <mergeCell ref="V10:AC10"/>
    <mergeCell ref="G14:H14"/>
    <mergeCell ref="AD10:AF10"/>
    <mergeCell ref="R10:U10"/>
    <mergeCell ref="W12:AD12"/>
    <mergeCell ref="B10:F10"/>
    <mergeCell ref="G10:Q10"/>
    <mergeCell ref="I12:N12"/>
    <mergeCell ref="B12:F12"/>
    <mergeCell ref="G12:H12"/>
    <mergeCell ref="AL29:AL34"/>
    <mergeCell ref="O44:S44"/>
    <mergeCell ref="I20:L20"/>
    <mergeCell ref="O28:S28"/>
    <mergeCell ref="M36:N36"/>
    <mergeCell ref="O36:S36"/>
    <mergeCell ref="O20:S20"/>
    <mergeCell ref="B17:E17"/>
    <mergeCell ref="I44:L44"/>
    <mergeCell ref="M44:N44"/>
    <mergeCell ref="B29:E34"/>
    <mergeCell ref="I28:L28"/>
    <mergeCell ref="M20:N20"/>
    <mergeCell ref="I36:L36"/>
    <mergeCell ref="B20:E20"/>
    <mergeCell ref="F17:I17"/>
    <mergeCell ref="B21:E26"/>
    <mergeCell ref="M28:N28"/>
    <mergeCell ref="R17:U17"/>
    <mergeCell ref="B19:AK19"/>
    <mergeCell ref="B18:I18"/>
    <mergeCell ref="R18:S18"/>
  </mergeCells>
  <phoneticPr fontId="0" type="noConversion"/>
  <dataValidations xWindow="443" yWindow="626" count="39">
    <dataValidation type="whole" allowBlank="1" showInputMessage="1" showErrorMessage="1" error="Overlap too more than 2 needles not allowed" sqref="AG21 AG37 AG29 AG45" xr:uid="{00000000-0002-0000-0100-000000000000}">
      <formula1>(AE21-2)</formula1>
      <formula2>(AE21+2)</formula2>
    </dataValidation>
    <dataValidation type="whole" allowBlank="1" showInputMessage="1" showErrorMessage="1" error="Overlap more than 2 needles not allowed" sqref="H21:H26 L21:L26 P21:P26 T21:T26 X21:X26 AB21:AB26 AF21:AF26 AJ21:AJ26 H29:H34 L29:L34 P29:P34 T29:T34 X29:X34 AB29:AB34 AF29:AF34 AJ29:AJ34 H37:H42 L37:L42 P37:P42 T37:T42 X37:X42 AB37:AB42 AF37:AF42 AJ37:AJ42 H45:H50 L45:L50 P45:P50 T45:T50 X45:X50 AB45:AB50 AF45:AF50 AJ45:AJ50" xr:uid="{00000000-0002-0000-0100-000001000000}">
      <formula1>(F21-2)</formula1>
      <formula2>(F21+2)</formula2>
    </dataValidation>
    <dataValidation allowBlank="1" showErrorMessage="1" sqref="AL1:AL1048576" xr:uid="{00000000-0002-0000-0100-000002000000}"/>
    <dataValidation type="list" allowBlank="1" showInputMessage="1" showErrorMessage="1" error="Please mark only patern disc or pattern drum by X" prompt="Please select x if you order pattern disc" sqref="F17:I17" xr:uid="{00000000-0002-0000-0100-000003000000}">
      <formula1>$AP$3:$AP$4</formula1>
    </dataValidation>
    <dataValidation type="list" allowBlank="1" showInputMessage="1" showErrorMessage="1" error="Please mark only Pattern disk or Pattern chain by X" prompt="Please select x if you order pattern chain" sqref="R17:U17" xr:uid="{00000000-0002-0000-0100-000004000000}">
      <formula1>$AP$3:$AP$4</formula1>
    </dataValidation>
    <dataValidation type="list" allowBlank="1" showInputMessage="1" showErrorMessage="1" errorTitle="Gültige Werte" error="Only values between 4, 6 ,8, ...up to 48 or value does not fit to Repeat length" prompt="Please select pattern drive ratio._x000a_If no value is selectable please mark pattern disc/chain type first._x000a_" sqref="AH18:AI18" xr:uid="{00000000-0002-0000-0100-000005000000}">
      <formula1>$AR$3:$AR$16</formula1>
    </dataValidation>
    <dataValidation type="list" allowBlank="1" showInputMessage="1" showErrorMessage="1" error="Spare parts order already selected" prompt="Please select X when new machine order._x000a_If no x is selectable remove the x of spare parts order first" sqref="G12:H12" xr:uid="{00000000-0002-0000-0100-000006000000}">
      <formula1>$AO$3</formula1>
    </dataValidation>
    <dataValidation type="list" allowBlank="1" showInputMessage="1" showErrorMessage="1" error="New machine order already selected" prompt="Please select X when spare parts order._x000a_If no x is selectable remove the x of new machine order first" sqref="G14:H14" xr:uid="{00000000-0002-0000-0100-000007000000}">
      <formula1>$AO$3</formula1>
    </dataValidation>
    <dataValidation type="list" showInputMessage="1" showErrorMessage="1" prompt="Please select x if pattern drive is of N-type_x000a_If no x is selectable remove the x of E or H type" sqref="L18:M18" xr:uid="{00000000-0002-0000-0100-000008000000}">
      <formula1>$AQ$3:$AQ$4</formula1>
    </dataValidation>
    <dataValidation allowBlank="1" showInputMessage="1" showErrorMessage="1" prompt="Please fill in machine type according to machine plate" sqref="O14:V14 O12:V12" xr:uid="{00000000-0002-0000-0100-000009000000}"/>
    <dataValidation allowBlank="1" showInputMessage="1" showErrorMessage="1" prompt="Please fill in machine no according to machine plate" sqref="AE14:AK14" xr:uid="{00000000-0002-0000-0100-00000A000000}"/>
    <dataValidation allowBlank="1" showInputMessage="1" showErrorMessage="1" prompt="Please fill in no of order confirmation" sqref="AE12:AK12" xr:uid="{00000000-0002-0000-0100-00000B000000}"/>
    <dataValidation allowBlank="1" showInputMessage="1" showErrorMessage="1" prompt="Will be filled in by Karl Mayer" sqref="AE15:AK15" xr:uid="{00000000-0002-0000-0100-00000C000000}"/>
    <dataValidation type="list" allowBlank="1" showInputMessage="1" showErrorMessage="1" prompt="Please select x if pattern drive is of H-type._x000a_If no x is selectable remove the x of N or E type" sqref="T18:U18" xr:uid="{00000000-0002-0000-0100-00000D000000}">
      <formula1>$AQ$3:$AQ$4</formula1>
    </dataValidation>
    <dataValidation type="list" allowBlank="1" showInputMessage="1" showErrorMessage="1" prompt="If chain link please select required pin length. If no pin length is selectable please select the pattern disc/chain type first." sqref="AI17:AK17" xr:uid="{00000000-0002-0000-0100-00000E000000}">
      <formula1>$BK$2:$BK$42</formula1>
    </dataValidation>
    <dataValidation type="list" allowBlank="1" showInputMessage="1" showErrorMessage="1" prompt="Please mark with x when fitted on a new machine" sqref="M44:N44" xr:uid="{00000000-0002-0000-0100-00000F000000}">
      <formula1>$AW$9:$AW$10</formula1>
    </dataValidation>
    <dataValidation type="list" allowBlank="1" showInputMessage="1" showErrorMessage="1" prompt="Please mark with x when spare part or by-pack for new machine" sqref="T44:U44" xr:uid="{00000000-0002-0000-0100-000010000000}">
      <formula1>$AX$9:$AX$10</formula1>
    </dataValidation>
    <dataValidation allowBlank="1" showInputMessage="1" showErrorMessage="1" prompt="Please fill in required quantity" sqref="AA20:AB20 AA28:AB28 AA36:AB36 AA44:AB44" xr:uid="{00000000-0002-0000-0100-000011000000}"/>
    <dataValidation allowBlank="1" showInputMessage="1" showErrorMessage="1" prompt="Please fill in your company name and country" sqref="G10:Q10" xr:uid="{00000000-0002-0000-0100-000012000000}"/>
    <dataValidation allowBlank="1" showInputMessage="1" showErrorMessage="1" prompt="If you have your own reference no. fill in here" sqref="V10:AC10" xr:uid="{00000000-0002-0000-0100-000013000000}"/>
    <dataValidation allowBlank="1" showInputMessage="1" showErrorMessage="1" prompt="please fill in the current date" sqref="AG10:AK10" xr:uid="{00000000-0002-0000-0100-000014000000}"/>
    <dataValidation type="list" allowBlank="1" showInputMessage="1" showErrorMessage="1" prompt="Please mark with x when fitted on a new machine" sqref="M20:N20" xr:uid="{00000000-0002-0000-0100-000015000000}">
      <formula1>$AW$3:$AW$4</formula1>
    </dataValidation>
    <dataValidation type="list" allowBlank="1" showInputMessage="1" showErrorMessage="1" prompt="Please mark with x when spare part or by-pack for new machine" sqref="T20:U20" xr:uid="{00000000-0002-0000-0100-000016000000}">
      <formula1>$AX$3:$AX$4</formula1>
    </dataValidation>
    <dataValidation type="list" allowBlank="1" showInputMessage="1" showErrorMessage="1" prompt="Please mark with x when fitted on a new machine" sqref="M28:N28" xr:uid="{00000000-0002-0000-0100-000017000000}">
      <formula1>$AW$5:$AW$6</formula1>
    </dataValidation>
    <dataValidation type="list" allowBlank="1" showInputMessage="1" showErrorMessage="1" prompt="Please mark with x when spare part or by-pack for new machine" sqref="T28:U28" xr:uid="{00000000-0002-0000-0100-000018000000}">
      <formula1>$AX$5:$AX$6</formula1>
    </dataValidation>
    <dataValidation type="list" allowBlank="1" showInputMessage="1" showErrorMessage="1" prompt="Please mark with x when fitted on a new machine" sqref="M36:N36" xr:uid="{00000000-0002-0000-0100-000019000000}">
      <formula1>$AW$7:$AW$8</formula1>
    </dataValidation>
    <dataValidation type="list" allowBlank="1" showInputMessage="1" showErrorMessage="1" prompt="Please mark with x when spare part or by-pack for new machine" sqref="T36:U36" xr:uid="{00000000-0002-0000-0100-00001A000000}">
      <formula1>$AX$7:$AX$8</formula1>
    </dataValidation>
    <dataValidation type="list" allowBlank="1" showInputMessage="1" showErrorMessage="1" prompt="Please select x if pattern drive is of E-type._x000a_If no x is selectable remove the x of N or H type" sqref="P18:Q18" xr:uid="{00000000-0002-0000-0100-00001B000000}">
      <formula1>$AQ$3:$AQ$4</formula1>
    </dataValidation>
    <dataValidation type="list" allowBlank="1" showErrorMessage="1" prompt="Please select the gauge you order the pattern disc or chain for" sqref="G15:H15" xr:uid="{00000000-0002-0000-0100-00001C000000}">
      <formula1>$AO$14:$AO$16</formula1>
    </dataValidation>
    <dataValidation type="list" allowBlank="1" showInputMessage="1" showErrorMessage="1" prompt="Please select the gauge you order the pattern disc or chain for" sqref="I15:K15" xr:uid="{00000000-0002-0000-0100-00001D000000}">
      <formula1>$AM$3:$AM$35</formula1>
    </dataValidation>
    <dataValidation type="whole" allowBlank="1" showInputMessage="1" showErrorMessage="1" sqref="AO10" xr:uid="{00000000-0002-0000-0100-00001E000000}">
      <formula1>0</formula1>
      <formula2>AO10</formula2>
    </dataValidation>
    <dataValidation allowBlank="1" showErrorMessage="1" prompt="Please enter the lapping like 1,2/2,1_x000a_For double needle bar enter:_x000a_e.g. 1,0/0,0 for a ground bar (only front needle bar)_x000a_e.g. 1,0/0,1 for a pile building bar" sqref="F22:F26 J21:J26 N21:N26 R21:R26 V21:V26 Z21:Z26 AD21:AD26 AH21:AH26 F30:F34 J29:J34 N29:N34 R29:R34 V29:V34 Z29:Z34 AD29:AD34 AH29:AH34 F38:F42 J37:J42 N37:N42 R37:R42 V37:V42 Z37:Z42 AD37:AD42 AH37:AH42 F46:F50 J45:J50 N45:N50 R45:R50 V45:V50 Z45:Z50 AD45:AD50 AH45:AH50" xr:uid="{00000000-0002-0000-0100-00001F000000}"/>
    <dataValidation allowBlank="1" showErrorMessage="1" prompt="Please fill in the guide bar type _x000a_GB = Guide bar_x000a_JB = Jaquard bar_x000a_PB = Pattern bar " sqref="G44 G28 G36" xr:uid="{00000000-0002-0000-0100-000020000000}"/>
    <dataValidation type="list" allowBlank="1" showInputMessage="1" showErrorMessage="1" prompt="Please fill in the guide bar position according to the mentioned machine " sqref="H20 H44 H28 H36" xr:uid="{00000000-0002-0000-0100-000021000000}">
      <formula1>$BP$2:$BP$21</formula1>
    </dataValidation>
    <dataValidation type="list" allowBlank="1" showInputMessage="1" showErrorMessage="1" prompt="Please select x if double needle bar machine_x000a_leave empty if single bar machine" sqref="U15:V15" xr:uid="{00000000-0002-0000-0100-000022000000}">
      <formula1>$AO$3:$AO$4</formula1>
    </dataValidation>
    <dataValidation type="list" allowBlank="1" showInputMessage="1" showErrorMessage="1" prompt="Please select the guide bar type from the drop down list_x000a__x000a_GB = Ground bar_x000a_JB = Jaquard bar_x000a_PB = Pattern bar _x000a_FB = Filler bar" sqref="F28 F44 F36" xr:uid="{00000000-0002-0000-0100-000023000000}">
      <formula1>$BO$2:$BO$5</formula1>
    </dataValidation>
    <dataValidation allowBlank="1" showInputMessage="1" showErrorMessage="1" prompt="Please enter the lapping, one number per field. _x000a_Please keep in mind the preseted seperators (, and /), according to the repeat length_x000a__x000a_For double needle bar enter:_x000a_e.g. 1,0/0,0 for a ground bar (only front needle bar)_x000a_e.g. 1,0/0,1 for a pile building bar" sqref="F21 F29 F37 F45" xr:uid="{00000000-0002-0000-0100-000024000000}"/>
    <dataValidation type="list" operator="equal" allowBlank="1" showInputMessage="1" errorTitle="Wrong value" error="Value does not fit to the Ratio Pattern Drive value" prompt="Please select repeat length of the lapping. The seperators (, and /) will be set accordingly._x000a_If repeat length is more than 48 stitches enter 48 and continue at next guide bar position._x000a__x000a_" sqref="AJ20:AK20 AJ44:AK44 AJ36:AK36 AJ28:AK28" xr:uid="{00000000-0002-0000-0100-000025000000}">
      <formula1>IF($F$17="x",$AY$2:$AY$9,$AY$2:$AY$28)</formula1>
    </dataValidation>
    <dataValidation type="list" allowBlank="1" showInputMessage="1" showErrorMessage="1" prompt="Please select the guide bar type from the drop down list_x000a__x000a_GB = Ground bar_x000a_JB = Jaquard bar_x000a_PB = Pattern bar _x000a_FB = Filler bar ( valid for KL-xx-107-78 on FB 3 only)" sqref="F20" xr:uid="{00000000-0002-0000-0100-000026000000}">
      <formula1>$BO$2:$BO$5</formula1>
    </dataValidation>
  </dataValidations>
  <pageMargins left="0.98425196850393704" right="0.19685039370078741" top="0.39370078740157483" bottom="0.19685039370078741" header="0.51181102362204722" footer="0.51181102362204722"/>
  <pageSetup paperSize="9" scale="86" orientation="portrait" r:id="rId1"/>
  <headerFooter alignWithMargins="0"/>
  <rowBreaks count="1" manualBreakCount="1">
    <brk id="16" min="1" max="36" man="1"/>
  </rowBreaks>
  <colBreaks count="1" manualBreakCount="1">
    <brk id="17" max="61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D8"/>
  <sheetViews>
    <sheetView workbookViewId="0">
      <selection activeCell="C6" sqref="C6"/>
    </sheetView>
  </sheetViews>
  <sheetFormatPr baseColWidth="10" defaultColWidth="11.42578125" defaultRowHeight="12.75" x14ac:dyDescent="0.2"/>
  <cols>
    <col min="1" max="1" width="4.7109375" style="2" customWidth="1"/>
    <col min="2" max="2" width="4" style="11" customWidth="1"/>
    <col min="3" max="3" width="77.42578125" style="2" customWidth="1"/>
    <col min="4" max="16384" width="11.42578125" style="2"/>
  </cols>
  <sheetData>
    <row r="1" spans="1:4" x14ac:dyDescent="0.2">
      <c r="A1" s="2" t="s">
        <v>116</v>
      </c>
      <c r="B1" s="11" t="s">
        <v>117</v>
      </c>
      <c r="C1" s="2" t="s">
        <v>115</v>
      </c>
      <c r="D1" s="2" t="s">
        <v>103</v>
      </c>
    </row>
    <row r="2" spans="1:4" x14ac:dyDescent="0.2">
      <c r="A2" s="11">
        <f>'Form sheet'!F23</f>
        <v>0</v>
      </c>
      <c r="B2" s="61">
        <f>'Form sheet'!H23</f>
        <v>0</v>
      </c>
      <c r="C2" s="2" t="str">
        <f>'Form sheet'!AO21</f>
        <v>,/,/,/,/,/,/,/,/,/,/,/,/,/,/,/,/,/,/,/,/,/,/,/,/,/,/,/,/,/,/,/,/,/,/,/,/,/,/,/,/,/,/,/,/,/,/,/,/</v>
      </c>
      <c r="D2" s="100"/>
    </row>
    <row r="3" spans="1:4" x14ac:dyDescent="0.2">
      <c r="D3" s="100"/>
    </row>
    <row r="4" spans="1:4" x14ac:dyDescent="0.2">
      <c r="A4" s="11">
        <f>'Form sheet'!F31</f>
        <v>0</v>
      </c>
      <c r="B4" s="61">
        <f>'Form sheet'!H31</f>
        <v>0</v>
      </c>
      <c r="C4" s="2" t="str">
        <f>'Form sheet'!AN29</f>
        <v/>
      </c>
      <c r="D4" s="100"/>
    </row>
    <row r="5" spans="1:4" x14ac:dyDescent="0.2">
      <c r="D5" s="100"/>
    </row>
    <row r="6" spans="1:4" x14ac:dyDescent="0.2">
      <c r="A6" s="11">
        <f>'Form sheet'!F39</f>
        <v>0</v>
      </c>
      <c r="B6" s="61">
        <f>'Form sheet'!H39</f>
        <v>0</v>
      </c>
      <c r="C6" s="2" t="str">
        <f>'Form sheet'!AN37</f>
        <v/>
      </c>
      <c r="D6" s="100"/>
    </row>
    <row r="7" spans="1:4" x14ac:dyDescent="0.2">
      <c r="D7" s="100"/>
    </row>
    <row r="8" spans="1:4" x14ac:dyDescent="0.2">
      <c r="A8" s="11">
        <f>'Form sheet'!F47</f>
        <v>0</v>
      </c>
      <c r="B8" s="61">
        <f>'Form sheet'!H47</f>
        <v>0</v>
      </c>
      <c r="C8" s="2" t="str">
        <f>'Form sheet'!AN45</f>
        <v/>
      </c>
      <c r="D8" s="100"/>
    </row>
  </sheetData>
  <sheetProtection password="CB97" sheet="1" formatCells="0" formatColumns="0" formatRows="0" insertColumns="0" insertRows="0" insertHyperlinks="0" deleteColumns="0" deleteRows="0" sort="0" autoFilter="0" pivotTables="0"/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 sheet</vt:lpstr>
      <vt:lpstr>sample</vt:lpstr>
      <vt:lpstr>KM only</vt:lpstr>
      <vt:lpstr>'Form sheet'!Druckbereich</vt:lpstr>
      <vt:lpstr>sample!Druckbereich</vt:lpstr>
    </vt:vector>
  </TitlesOfParts>
  <Company>Karl Mayer Textilmaschinenfabrik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Mayer</dc:creator>
  <cp:lastModifiedBy>Rudy, Tobias</cp:lastModifiedBy>
  <cp:lastPrinted>2012-07-05T12:31:59Z</cp:lastPrinted>
  <dcterms:created xsi:type="dcterms:W3CDTF">2005-12-20T08:15:25Z</dcterms:created>
  <dcterms:modified xsi:type="dcterms:W3CDTF">2020-09-08T09:09:43Z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96 96 1440 900</vt:lpwstr>
  </property>
</Properties>
</file>